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S008\Desktop\"/>
    </mc:Choice>
  </mc:AlternateContent>
  <xr:revisionPtr revIDLastSave="0" documentId="13_ncr:1_{D536265C-AADE-4CD3-A986-647557BF4B7D}" xr6:coauthVersionLast="47" xr6:coauthVersionMax="47" xr10:uidLastSave="{00000000-0000-0000-0000-000000000000}"/>
  <workbookProtection workbookAlgorithmName="SHA-512" workbookHashValue="EpbJSeNFRC8Bzy8JTRAGFpZQ1c9JYEJdDt22EfAa/qU/59Wy36E11f8bNpm9VnEZmEEr6Wpr+XZS/xzvd1eebA==" workbookSaltValue="XqasBIQEPPJ8WvDFrAjSMg==" workbookSpinCount="100000" lockStructure="1"/>
  <bookViews>
    <workbookView xWindow="-120" yWindow="-120" windowWidth="29040" windowHeight="15720" activeTab="2" xr2:uid="{00000000-000D-0000-FFFF-FFFF00000000}"/>
  </bookViews>
  <sheets>
    <sheet name="CALCULO DEPOSITOS DE CAJAS" sheetId="1" r:id="rId1"/>
    <sheet name="CALCULO DEPOSITOS DE GRAVA" sheetId="5" r:id="rId2"/>
    <sheet name="CALCULO JARDÍN LLUVIA" sheetId="10" r:id="rId3"/>
    <sheet name="CALCULO REBOSE" sheetId="2" r:id="rId4"/>
    <sheet name="Hoja1" sheetId="6" state="hidden" r:id="rId5"/>
    <sheet name="Hoja1 (2)" sheetId="7" state="hidden" r:id="rId6"/>
    <sheet name="Hoja3" sheetId="3" state="hidden" r:id="rId7"/>
  </sheets>
  <definedNames>
    <definedName name="_xlnm.Print_Area" localSheetId="0">'CALCULO DEPOSITOS DE CAJAS'!$A$1:$Y$50</definedName>
    <definedName name="_xlnm.Print_Area" localSheetId="1">'CALCULO DEPOSITOS DE GRAVA'!$A$1:$U$31</definedName>
    <definedName name="_xlnm.Print_Area" localSheetId="2">'CALCULO JARDÍN LLUVIA'!$A$1:$U$29</definedName>
    <definedName name="_xlnm.Print_Area" localSheetId="3">'CALCULO REBOSE'!$A$1:$P$35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7" i="10" l="1"/>
  <c r="AB8" i="10"/>
  <c r="AB9" i="10"/>
  <c r="AB10" i="10"/>
  <c r="AB7" i="10"/>
  <c r="AA17" i="10"/>
  <c r="AA18" i="10"/>
  <c r="AA19" i="10"/>
  <c r="AA16" i="10"/>
  <c r="X19" i="10"/>
  <c r="X18" i="10"/>
  <c r="X17" i="10"/>
  <c r="X16" i="10"/>
  <c r="W19" i="10"/>
  <c r="W18" i="10"/>
  <c r="W17" i="10"/>
  <c r="W16" i="10"/>
  <c r="Z19" i="10"/>
  <c r="Y19" i="10"/>
  <c r="AB19" i="10" s="1"/>
  <c r="Z18" i="10"/>
  <c r="Y18" i="10"/>
  <c r="AB18" i="10" s="1"/>
  <c r="Z17" i="10"/>
  <c r="Y17" i="10"/>
  <c r="Z16" i="10"/>
  <c r="Y16" i="10"/>
  <c r="AB16" i="10" s="1"/>
  <c r="Y10" i="10"/>
  <c r="AA10" i="10" s="1"/>
  <c r="Y9" i="10"/>
  <c r="AA9" i="10" s="1"/>
  <c r="Y8" i="10"/>
  <c r="AA8" i="10" s="1"/>
  <c r="Y7" i="10"/>
  <c r="AA7" i="10" s="1"/>
  <c r="S8" i="10"/>
  <c r="S9" i="10"/>
  <c r="S10" i="10"/>
  <c r="S7" i="10"/>
  <c r="P9" i="1"/>
  <c r="P10" i="1"/>
  <c r="P7" i="1"/>
  <c r="P8" i="1"/>
  <c r="W29" i="1"/>
  <c r="W28" i="1"/>
  <c r="W27" i="1"/>
  <c r="W26" i="1"/>
  <c r="D16" i="1" l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E8" i="5"/>
  <c r="E16" i="5"/>
  <c r="D16" i="5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D7" i="5"/>
  <c r="E7" i="5" s="1"/>
  <c r="D7" i="10"/>
  <c r="E7" i="10" s="1"/>
  <c r="D14" i="10"/>
  <c r="E14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5" i="10"/>
  <c r="E15" i="10" s="1"/>
  <c r="D16" i="10"/>
  <c r="E16" i="10" l="1"/>
  <c r="O19" i="5"/>
  <c r="R16" i="10"/>
  <c r="Q16" i="10"/>
  <c r="R19" i="10" l="1"/>
  <c r="R18" i="10"/>
  <c r="R17" i="10"/>
  <c r="Q19" i="10"/>
  <c r="Q17" i="10"/>
  <c r="P19" i="10"/>
  <c r="N19" i="10"/>
  <c r="E19" i="10"/>
  <c r="Q18" i="10"/>
  <c r="P18" i="10"/>
  <c r="N18" i="10"/>
  <c r="P17" i="10"/>
  <c r="N17" i="10"/>
  <c r="P16" i="10"/>
  <c r="N16" i="10"/>
  <c r="P10" i="10"/>
  <c r="R10" i="10" s="1"/>
  <c r="J10" i="10"/>
  <c r="J11" i="10" s="1"/>
  <c r="P9" i="10"/>
  <c r="R9" i="10" s="1"/>
  <c r="P8" i="10"/>
  <c r="R8" i="10" s="1"/>
  <c r="P7" i="10"/>
  <c r="R7" i="10" s="1"/>
  <c r="I7" i="10"/>
  <c r="R16" i="5"/>
  <c r="Q16" i="5"/>
  <c r="P16" i="5"/>
  <c r="P27" i="1"/>
  <c r="P28" i="1"/>
  <c r="P29" i="1"/>
  <c r="P26" i="1"/>
  <c r="Q26" i="1"/>
  <c r="P38" i="1"/>
  <c r="P39" i="1"/>
  <c r="P40" i="1"/>
  <c r="P37" i="1"/>
  <c r="N37" i="1"/>
  <c r="S16" i="5" l="1"/>
  <c r="E17" i="10"/>
  <c r="H7" i="10" s="1"/>
  <c r="J7" i="10" s="1"/>
  <c r="O16" i="10"/>
  <c r="S16" i="10" s="1"/>
  <c r="O17" i="10"/>
  <c r="S17" i="10" s="1"/>
  <c r="O19" i="10"/>
  <c r="S19" i="10" s="1"/>
  <c r="O18" i="10"/>
  <c r="S18" i="10" s="1"/>
  <c r="Q29" i="1" l="1"/>
  <c r="D26" i="1"/>
  <c r="E26" i="1" s="1"/>
  <c r="T26" i="1" l="1"/>
  <c r="S37" i="1"/>
  <c r="T37" i="1" s="1"/>
  <c r="Q37" i="1"/>
  <c r="G26" i="1"/>
  <c r="Q27" i="1"/>
  <c r="Q28" i="1"/>
  <c r="T29" i="1"/>
  <c r="T27" i="1" l="1"/>
  <c r="T28" i="1"/>
  <c r="Y29" i="1"/>
  <c r="V40" i="1" s="1"/>
  <c r="Y28" i="1"/>
  <c r="V39" i="1" s="1"/>
  <c r="Y27" i="1"/>
  <c r="V38" i="1" s="1"/>
  <c r="Y26" i="1"/>
  <c r="V37" i="1" s="1"/>
  <c r="O18" i="5" l="1"/>
  <c r="O17" i="5"/>
  <c r="O16" i="5"/>
  <c r="S8" i="5"/>
  <c r="S9" i="5"/>
  <c r="S10" i="5"/>
  <c r="S7" i="5"/>
  <c r="Q19" i="5"/>
  <c r="Q18" i="5"/>
  <c r="Q17" i="5"/>
  <c r="J10" i="5"/>
  <c r="P8" i="5"/>
  <c r="P9" i="5"/>
  <c r="P10" i="5"/>
  <c r="P7" i="5"/>
  <c r="R7" i="5" s="1"/>
  <c r="M19" i="5" l="1"/>
  <c r="M18" i="5"/>
  <c r="M17" i="5"/>
  <c r="M16" i="5"/>
  <c r="P19" i="5"/>
  <c r="E19" i="5"/>
  <c r="J11" i="5"/>
  <c r="I7" i="5"/>
  <c r="E17" i="5" l="1"/>
  <c r="H7" i="5" s="1"/>
  <c r="J7" i="5" s="1"/>
  <c r="P17" i="5"/>
  <c r="P18" i="5"/>
  <c r="R8" i="5"/>
  <c r="R10" i="5"/>
  <c r="R9" i="5"/>
  <c r="N19" i="5"/>
  <c r="N18" i="5"/>
  <c r="N17" i="5"/>
  <c r="N16" i="5"/>
  <c r="T16" i="5" s="1"/>
  <c r="R17" i="5"/>
  <c r="R18" i="5"/>
  <c r="S18" i="5" s="1"/>
  <c r="R19" i="5"/>
  <c r="S19" i="5" s="1"/>
  <c r="X7" i="1"/>
  <c r="X8" i="1" s="1"/>
  <c r="T18" i="5" l="1"/>
  <c r="T19" i="5"/>
  <c r="S17" i="5"/>
  <c r="T17" i="5" s="1"/>
  <c r="E19" i="1"/>
  <c r="H7" i="1" l="1"/>
  <c r="O38" i="1" l="1"/>
  <c r="D6" i="2" l="1"/>
  <c r="N40" i="1" l="1"/>
  <c r="N39" i="1"/>
  <c r="N38" i="1"/>
  <c r="K27" i="1" l="1"/>
  <c r="L27" i="1" s="1"/>
  <c r="K28" i="1"/>
  <c r="L28" i="1" s="1"/>
  <c r="K29" i="1"/>
  <c r="L29" i="1" s="1"/>
  <c r="K26" i="1"/>
  <c r="L26" i="1" s="1"/>
  <c r="X26" i="1" s="1"/>
  <c r="D27" i="1"/>
  <c r="D28" i="1"/>
  <c r="D29" i="1"/>
  <c r="M37" i="1" l="1"/>
  <c r="R37" i="1"/>
  <c r="N26" i="1"/>
  <c r="U26" i="1" s="1"/>
  <c r="R40" i="1"/>
  <c r="R39" i="1"/>
  <c r="R38" i="1"/>
  <c r="N27" i="1"/>
  <c r="O40" i="1" l="1"/>
  <c r="E27" i="1"/>
  <c r="X27" i="1" s="1"/>
  <c r="E28" i="1"/>
  <c r="X28" i="1" s="1"/>
  <c r="E29" i="1"/>
  <c r="X29" i="1" s="1"/>
  <c r="B31" i="2"/>
  <c r="C31" i="2" s="1"/>
  <c r="B30" i="2"/>
  <c r="D30" i="2" s="1"/>
  <c r="B29" i="2"/>
  <c r="D29" i="2" s="1"/>
  <c r="E29" i="2" s="1"/>
  <c r="B28" i="2"/>
  <c r="D28" i="2" s="1"/>
  <c r="B27" i="2"/>
  <c r="D27" i="2" s="1"/>
  <c r="B26" i="2"/>
  <c r="C26" i="2" s="1"/>
  <c r="B25" i="2"/>
  <c r="C25" i="2" s="1"/>
  <c r="B24" i="2"/>
  <c r="D24" i="2" s="1"/>
  <c r="B23" i="2"/>
  <c r="D23" i="2" s="1"/>
  <c r="E23" i="2" s="1"/>
  <c r="B22" i="2"/>
  <c r="C22" i="2" s="1"/>
  <c r="B21" i="2"/>
  <c r="C21" i="2" s="1"/>
  <c r="B20" i="2"/>
  <c r="D20" i="2" s="1"/>
  <c r="B19" i="2"/>
  <c r="D19" i="2" s="1"/>
  <c r="B18" i="2"/>
  <c r="C18" i="2" s="1"/>
  <c r="B17" i="2"/>
  <c r="C17" i="2" s="1"/>
  <c r="B16" i="2"/>
  <c r="D16" i="2" s="1"/>
  <c r="B15" i="2"/>
  <c r="D15" i="2" s="1"/>
  <c r="B14" i="2"/>
  <c r="C14" i="2" s="1"/>
  <c r="B13" i="2"/>
  <c r="D13" i="2" s="1"/>
  <c r="F13" i="2" s="1"/>
  <c r="B12" i="2"/>
  <c r="D12" i="2" s="1"/>
  <c r="B11" i="2"/>
  <c r="C11" i="2" s="1"/>
  <c r="H11" i="2"/>
  <c r="V29" i="1"/>
  <c r="V28" i="1"/>
  <c r="V27" i="1"/>
  <c r="V26" i="1"/>
  <c r="S40" i="1" l="1"/>
  <c r="Q40" i="1"/>
  <c r="M40" i="1"/>
  <c r="S39" i="1"/>
  <c r="Q39" i="1"/>
  <c r="M39" i="1"/>
  <c r="S38" i="1"/>
  <c r="Q38" i="1"/>
  <c r="M38" i="1"/>
  <c r="G27" i="1"/>
  <c r="U27" i="1" s="1"/>
  <c r="G29" i="1"/>
  <c r="G28" i="1"/>
  <c r="C27" i="2"/>
  <c r="C20" i="2"/>
  <c r="D18" i="2"/>
  <c r="D31" i="2"/>
  <c r="F31" i="2" s="1"/>
  <c r="C13" i="2"/>
  <c r="D11" i="2"/>
  <c r="F11" i="2" s="1"/>
  <c r="D17" i="2"/>
  <c r="E17" i="2" s="1"/>
  <c r="C29" i="2"/>
  <c r="N29" i="1"/>
  <c r="O37" i="1"/>
  <c r="U37" i="1" s="1"/>
  <c r="F27" i="2"/>
  <c r="E27" i="2"/>
  <c r="F30" i="2"/>
  <c r="E30" i="2"/>
  <c r="F15" i="2"/>
  <c r="E15" i="2"/>
  <c r="C15" i="2"/>
  <c r="D14" i="2"/>
  <c r="F14" i="2" s="1"/>
  <c r="D25" i="2"/>
  <c r="E25" i="2" s="1"/>
  <c r="C30" i="2"/>
  <c r="C24" i="2"/>
  <c r="D26" i="2"/>
  <c r="F26" i="2" s="1"/>
  <c r="N28" i="1"/>
  <c r="O39" i="1"/>
  <c r="C16" i="2"/>
  <c r="C19" i="2"/>
  <c r="C23" i="2"/>
  <c r="C12" i="2"/>
  <c r="E19" i="2"/>
  <c r="F19" i="2"/>
  <c r="F23" i="2"/>
  <c r="G23" i="2" s="1"/>
  <c r="H23" i="2" s="1"/>
  <c r="I23" i="2" s="1"/>
  <c r="D21" i="2"/>
  <c r="E21" i="2" s="1"/>
  <c r="D22" i="2"/>
  <c r="E26" i="2"/>
  <c r="G26" i="2" s="1"/>
  <c r="H26" i="2" s="1"/>
  <c r="I26" i="2" s="1"/>
  <c r="H7" i="2" s="1"/>
  <c r="C28" i="2"/>
  <c r="E16" i="2"/>
  <c r="F16" i="2"/>
  <c r="E12" i="2"/>
  <c r="F12" i="2"/>
  <c r="E24" i="2"/>
  <c r="F24" i="2"/>
  <c r="E28" i="2"/>
  <c r="F28" i="2"/>
  <c r="F20" i="2"/>
  <c r="E20" i="2"/>
  <c r="F29" i="2"/>
  <c r="G29" i="2" s="1"/>
  <c r="H29" i="2" s="1"/>
  <c r="I29" i="2" s="1"/>
  <c r="E13" i="2"/>
  <c r="G13" i="2" s="1"/>
  <c r="H13" i="2" s="1"/>
  <c r="E17" i="1"/>
  <c r="T39" i="1" l="1"/>
  <c r="U39" i="1" s="1"/>
  <c r="T40" i="1"/>
  <c r="U40" i="1" s="1"/>
  <c r="T38" i="1"/>
  <c r="U38" i="1" s="1"/>
  <c r="U29" i="1"/>
  <c r="U28" i="1"/>
  <c r="F17" i="2"/>
  <c r="G17" i="2" s="1"/>
  <c r="H17" i="2" s="1"/>
  <c r="I17" i="2" s="1"/>
  <c r="G7" i="1"/>
  <c r="I7" i="1" s="1"/>
  <c r="L4" i="2"/>
  <c r="M4" i="2" s="1"/>
  <c r="G27" i="2"/>
  <c r="H27" i="2" s="1"/>
  <c r="I27" i="2" s="1"/>
  <c r="E11" i="2"/>
  <c r="I11" i="2" s="1"/>
  <c r="E31" i="2"/>
  <c r="G31" i="2" s="1"/>
  <c r="H31" i="2" s="1"/>
  <c r="I31" i="2" s="1"/>
  <c r="H8" i="2" s="1"/>
  <c r="G15" i="2"/>
  <c r="H15" i="2" s="1"/>
  <c r="I15" i="2" s="1"/>
  <c r="F18" i="2"/>
  <c r="E18" i="2"/>
  <c r="E14" i="2"/>
  <c r="G14" i="2" s="1"/>
  <c r="H14" i="2" s="1"/>
  <c r="I14" i="2" s="1"/>
  <c r="G30" i="2"/>
  <c r="H30" i="2" s="1"/>
  <c r="I30" i="2" s="1"/>
  <c r="F25" i="2"/>
  <c r="G25" i="2" s="1"/>
  <c r="H25" i="2" s="1"/>
  <c r="I25" i="2" s="1"/>
  <c r="G19" i="2"/>
  <c r="H19" i="2" s="1"/>
  <c r="I19" i="2" s="1"/>
  <c r="G24" i="2"/>
  <c r="H24" i="2" s="1"/>
  <c r="I24" i="2" s="1"/>
  <c r="F22" i="2"/>
  <c r="E22" i="2"/>
  <c r="G16" i="2"/>
  <c r="H16" i="2" s="1"/>
  <c r="I16" i="2" s="1"/>
  <c r="F21" i="2"/>
  <c r="G21" i="2" s="1"/>
  <c r="H21" i="2" s="1"/>
  <c r="I21" i="2" s="1"/>
  <c r="G20" i="2"/>
  <c r="H20" i="2" s="1"/>
  <c r="G28" i="2"/>
  <c r="H28" i="2" s="1"/>
  <c r="I28" i="2" s="1"/>
  <c r="G12" i="2"/>
  <c r="H12" i="2" s="1"/>
  <c r="I12" i="2" s="1"/>
  <c r="I13" i="2"/>
  <c r="J8" i="1" l="1"/>
  <c r="J7" i="1"/>
  <c r="K7" i="1" s="1"/>
  <c r="J9" i="1"/>
  <c r="J10" i="1"/>
  <c r="G18" i="2"/>
  <c r="H18" i="2" s="1"/>
  <c r="I18" i="2" s="1"/>
  <c r="G22" i="2"/>
  <c r="H22" i="2" s="1"/>
  <c r="I22" i="2" s="1"/>
  <c r="I20" i="2"/>
  <c r="K9" i="1" l="1"/>
  <c r="Q9" i="1" s="1"/>
  <c r="K10" i="1"/>
  <c r="Q10" i="1" s="1"/>
  <c r="K8" i="1"/>
  <c r="Q8" i="1" s="1"/>
  <c r="D8" i="2"/>
  <c r="H4" i="2"/>
  <c r="H6" i="2"/>
  <c r="Q7" i="1"/>
</calcChain>
</file>

<file path=xl/sharedStrings.xml><?xml version="1.0" encoding="utf-8"?>
<sst xmlns="http://schemas.openxmlformats.org/spreadsheetml/2006/main" count="243" uniqueCount="155">
  <si>
    <t>CALCULO SUPERFICIE IMPERMEABLE</t>
  </si>
  <si>
    <t xml:space="preserve">COEF. ESCORRENTIA </t>
  </si>
  <si>
    <t>TIPO SUPERFICIE</t>
  </si>
  <si>
    <t>TOTAL SUPERFICIE IMPERMEABLE</t>
  </si>
  <si>
    <t>CAJAS</t>
  </si>
  <si>
    <t>LONGITUD (m)</t>
  </si>
  <si>
    <t>ANCHO            (m)</t>
  </si>
  <si>
    <t>ALTURA                     (m)</t>
  </si>
  <si>
    <r>
      <t>VOLUMEN 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</si>
  <si>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t>CASA COMERCIAL</t>
  </si>
  <si>
    <t>Pavimento permeable</t>
  </si>
  <si>
    <t>TOTAL SUPERFICIE  AMBITO</t>
  </si>
  <si>
    <t>CALCULO VOLUMEN ESCORRENTIA GESTIONAR</t>
  </si>
  <si>
    <t>COMPROBACIÓN TIEMPO DE VACIADO</t>
  </si>
  <si>
    <t>n</t>
  </si>
  <si>
    <r>
      <t>A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/P</t>
    </r>
  </si>
  <si>
    <t>Diámetro (mm) =</t>
  </si>
  <si>
    <t>C. Manning =</t>
  </si>
  <si>
    <t>V min =</t>
  </si>
  <si>
    <t>H/D</t>
  </si>
  <si>
    <t>ANG</t>
  </si>
  <si>
    <t>DIMENSIONAMIENTO DE  SECCIÓN CIRCULAR REBOSE</t>
  </si>
  <si>
    <t>CAUDAL REBOSE</t>
  </si>
  <si>
    <t>P (m)</t>
  </si>
  <si>
    <t>Coeficiente de permeabilidad (m/h)</t>
  </si>
  <si>
    <t>Perímetro de la base (m)</t>
  </si>
  <si>
    <t>Columna de agua máxima (m)</t>
  </si>
  <si>
    <r>
      <t xml:space="preserve">t </t>
    </r>
    <r>
      <rPr>
        <vertAlign val="subscript"/>
        <sz val="11"/>
        <color theme="1"/>
        <rFont val="Calibri"/>
        <family val="2"/>
        <scheme val="minor"/>
      </rPr>
      <t>vaciado</t>
    </r>
    <r>
      <rPr>
        <sz val="11"/>
        <color theme="1"/>
        <rFont val="Calibri"/>
        <family val="2"/>
        <scheme val="minor"/>
      </rPr>
      <t>=</t>
    </r>
  </si>
  <si>
    <t>nº cajas Longitudinal</t>
  </si>
  <si>
    <t>nº cajas Alto</t>
  </si>
  <si>
    <t>nº cajas Ancho</t>
  </si>
  <si>
    <t xml:space="preserve">Área de la base de la capa </t>
  </si>
  <si>
    <t>SUPERFICIE IMPERMEABLE (ha)</t>
  </si>
  <si>
    <t>Pavimento impermeable</t>
  </si>
  <si>
    <t>Zona Ajardinada</t>
  </si>
  <si>
    <t>Cubiertas</t>
  </si>
  <si>
    <t>Arenero</t>
  </si>
  <si>
    <t>escorrentia</t>
  </si>
  <si>
    <t>pendientes</t>
  </si>
  <si>
    <t>K          =</t>
  </si>
  <si>
    <t>P           =</t>
  </si>
  <si>
    <r>
      <t xml:space="preserve">h </t>
    </r>
    <r>
      <rPr>
        <vertAlign val="subscript"/>
        <sz val="11"/>
        <color theme="1"/>
        <rFont val="Calibri"/>
        <family val="2"/>
        <scheme val="minor"/>
      </rPr>
      <t xml:space="preserve">max     </t>
    </r>
    <r>
      <rPr>
        <sz val="11"/>
        <color theme="1"/>
        <rFont val="Calibri"/>
        <family val="2"/>
        <scheme val="minor"/>
      </rPr>
      <t xml:space="preserve"> =</t>
    </r>
  </si>
  <si>
    <r>
      <t>A</t>
    </r>
    <r>
      <rPr>
        <sz val="8"/>
        <color theme="1"/>
        <rFont val="Calibri"/>
        <family val="2"/>
        <scheme val="minor"/>
      </rPr>
      <t xml:space="preserve">b              </t>
    </r>
    <r>
      <rPr>
        <sz val="11"/>
        <color theme="1"/>
        <rFont val="Calibri"/>
        <family val="2"/>
        <scheme val="minor"/>
      </rPr>
      <t>=</t>
    </r>
  </si>
  <si>
    <r>
      <t xml:space="preserve">V </t>
    </r>
    <r>
      <rPr>
        <b/>
        <sz val="8"/>
        <color theme="0"/>
        <rFont val="Calibri"/>
        <family val="2"/>
        <scheme val="minor"/>
      </rPr>
      <t>80</t>
    </r>
    <r>
      <rPr>
        <b/>
        <sz val="10"/>
        <color theme="0"/>
        <rFont val="Calibri"/>
        <family val="2"/>
        <scheme val="minor"/>
      </rPr>
      <t xml:space="preserve"> (mm) VOLUMEN PERCENTIL        </t>
    </r>
  </si>
  <si>
    <r>
      <t xml:space="preserve">V </t>
    </r>
    <r>
      <rPr>
        <b/>
        <sz val="8"/>
        <color theme="0"/>
        <rFont val="Calibri"/>
        <family val="2"/>
        <scheme val="minor"/>
      </rPr>
      <t>90</t>
    </r>
    <r>
      <rPr>
        <b/>
        <sz val="10"/>
        <color theme="0"/>
        <rFont val="Calibri"/>
        <family val="2"/>
        <scheme val="minor"/>
      </rPr>
      <t xml:space="preserve"> (mm) VOLUMEN PERCENTIL        </t>
    </r>
  </si>
  <si>
    <t>CALCULO NUMERO DE CAJAS SEGUN FABRICANTE</t>
  </si>
  <si>
    <t>n            =</t>
  </si>
  <si>
    <t>Porosidad de la capa</t>
  </si>
  <si>
    <t>Hormigón</t>
  </si>
  <si>
    <t>PE-PP</t>
  </si>
  <si>
    <t>PVC</t>
  </si>
  <si>
    <t>PRFV</t>
  </si>
  <si>
    <t>Gres</t>
  </si>
  <si>
    <r>
      <t>SUPERFICIES 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</si>
  <si>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>TOTAL VOLUMEN 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</si>
  <si>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r>
      <t>VOLUMEN GENERADO (m</t>
    </r>
    <r>
      <rPr>
        <b/>
        <vertAlign val="super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>)</t>
    </r>
  </si>
  <si>
    <r>
      <t>SUPERF. IMPERMEABLE 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</si>
  <si>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ancho caja
(m)</t>
  </si>
  <si>
    <r>
      <t>e</t>
    </r>
    <r>
      <rPr>
        <b/>
        <vertAlign val="sub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
(m)</t>
    </r>
  </si>
  <si>
    <r>
      <t>e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
(m)</t>
    </r>
  </si>
  <si>
    <r>
      <t>e</t>
    </r>
    <r>
      <rPr>
        <b/>
        <vertAlign val="sub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
(m)</t>
    </r>
  </si>
  <si>
    <r>
      <t>e</t>
    </r>
    <r>
      <rPr>
        <b/>
        <vertAlign val="subscript"/>
        <sz val="10"/>
        <color theme="1"/>
        <rFont val="Calibri"/>
        <family val="2"/>
        <scheme val="minor"/>
      </rPr>
      <t xml:space="preserve">T
</t>
    </r>
    <r>
      <rPr>
        <b/>
        <sz val="10"/>
        <color theme="1"/>
        <rFont val="Calibri"/>
        <family val="2"/>
        <scheme val="minor"/>
      </rPr>
      <t>(m)</t>
    </r>
  </si>
  <si>
    <r>
      <t>h</t>
    </r>
    <r>
      <rPr>
        <b/>
        <vertAlign val="sub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
(m)</t>
    </r>
  </si>
  <si>
    <r>
      <t>h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
(m)</t>
    </r>
  </si>
  <si>
    <t>alto caja
(m)</t>
  </si>
  <si>
    <r>
      <t>h</t>
    </r>
    <r>
      <rPr>
        <b/>
        <vertAlign val="sub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
(m)</t>
    </r>
  </si>
  <si>
    <r>
      <t>h</t>
    </r>
    <r>
      <rPr>
        <b/>
        <vertAlign val="subscript"/>
        <sz val="10"/>
        <color theme="1"/>
        <rFont val="Calibri"/>
        <family val="2"/>
        <scheme val="minor"/>
      </rPr>
      <t>4</t>
    </r>
    <r>
      <rPr>
        <b/>
        <sz val="10"/>
        <color theme="1"/>
        <rFont val="Calibri"/>
        <family val="2"/>
        <scheme val="minor"/>
      </rPr>
      <t xml:space="preserve">
(m)</t>
    </r>
  </si>
  <si>
    <r>
      <t>h</t>
    </r>
    <r>
      <rPr>
        <b/>
        <vertAlign val="subscript"/>
        <sz val="10"/>
        <color theme="1"/>
        <rFont val="Calibri"/>
        <family val="2"/>
        <scheme val="minor"/>
      </rPr>
      <t>T</t>
    </r>
    <r>
      <rPr>
        <b/>
        <sz val="10"/>
        <color theme="1"/>
        <rFont val="Calibri"/>
        <family val="2"/>
        <scheme val="minor"/>
      </rPr>
      <t xml:space="preserve">
(m)</t>
    </r>
  </si>
  <si>
    <r>
      <t>L</t>
    </r>
    <r>
      <rPr>
        <b/>
        <vertAlign val="sub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
(m)</t>
    </r>
  </si>
  <si>
    <r>
      <t>L</t>
    </r>
    <r>
      <rPr>
        <b/>
        <vertAlign val="sub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 xml:space="preserve">
(m)</t>
    </r>
  </si>
  <si>
    <t>TOTAL CAJAS (ud)</t>
  </si>
  <si>
    <r>
      <t>Volumen excavación 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</si>
  <si>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r>
      <t>Volumen cajas 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</si>
  <si>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r>
      <t>Qmax
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/s)</t>
    </r>
  </si>
  <si>
    <r>
      <t>A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
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</si>
  <si>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h</t>
    </r>
    <r>
      <rPr>
        <vertAlign val="subscript"/>
        <sz val="11"/>
        <color theme="1"/>
        <rFont val="Calibri"/>
        <family val="2"/>
        <scheme val="minor"/>
      </rPr>
      <t xml:space="preserve">max 
</t>
    </r>
    <r>
      <rPr>
        <sz val="11"/>
        <color theme="1"/>
        <rFont val="Calibri"/>
        <family val="2"/>
        <scheme val="minor"/>
      </rPr>
      <t>(m)</t>
    </r>
  </si>
  <si>
    <t>P 
(m)</t>
  </si>
  <si>
    <r>
      <t>t</t>
    </r>
    <r>
      <rPr>
        <vertAlign val="subscript"/>
        <sz val="11"/>
        <color theme="1"/>
        <rFont val="Calibri"/>
        <family val="2"/>
        <scheme val="minor"/>
      </rPr>
      <t>vaciado</t>
    </r>
    <r>
      <rPr>
        <sz val="11"/>
        <color theme="1"/>
        <rFont val="Calibri"/>
        <family val="2"/>
        <scheme val="minor"/>
      </rPr>
      <t xml:space="preserve"> 
(h)</t>
    </r>
  </si>
  <si>
    <r>
      <t>SUPERF. IMPERMEABLE EQUIVALENTE
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</si>
  <si>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V max (m/s) =</t>
  </si>
  <si>
    <r>
      <t>Q max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/) =</t>
    </r>
  </si>
  <si>
    <r>
      <t>Q 75%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/s) =</t>
    </r>
  </si>
  <si>
    <r>
      <t>Qcarga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/s) =</t>
    </r>
  </si>
  <si>
    <t>Pendiente (m/m) =</t>
  </si>
  <si>
    <t>Material Tubo =</t>
  </si>
  <si>
    <t>V (m/s)</t>
  </si>
  <si>
    <r>
      <t>R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(m)</t>
    </r>
  </si>
  <si>
    <r>
      <t>Q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/s)</t>
    </r>
  </si>
  <si>
    <r>
      <t>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</si>
  <si>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H (mm)</t>
  </si>
  <si>
    <t>PRECIPITACIÓN (l/ha/s)</t>
  </si>
  <si>
    <r>
      <t xml:space="preserve">V </t>
    </r>
    <r>
      <rPr>
        <b/>
        <sz val="8"/>
        <color theme="0"/>
        <rFont val="Calibri"/>
        <family val="2"/>
        <scheme val="minor"/>
      </rPr>
      <t>50</t>
    </r>
    <r>
      <rPr>
        <b/>
        <sz val="10"/>
        <color theme="0"/>
        <rFont val="Calibri"/>
        <family val="2"/>
        <scheme val="minor"/>
      </rPr>
      <t xml:space="preserve"> (mm) VOLUMEN PERCENTIL        </t>
    </r>
  </si>
  <si>
    <r>
      <t xml:space="preserve">V </t>
    </r>
    <r>
      <rPr>
        <b/>
        <sz val="8"/>
        <color theme="0"/>
        <rFont val="Calibri"/>
        <family val="2"/>
        <scheme val="minor"/>
      </rPr>
      <t>85</t>
    </r>
    <r>
      <rPr>
        <b/>
        <sz val="10"/>
        <color theme="0"/>
        <rFont val="Calibri"/>
        <family val="2"/>
        <scheme val="minor"/>
      </rPr>
      <t xml:space="preserve"> (mm) VOLUMEN PERCENTIL        </t>
    </r>
  </si>
  <si>
    <r>
      <t xml:space="preserve">V </t>
    </r>
    <r>
      <rPr>
        <b/>
        <sz val="8"/>
        <color theme="0"/>
        <rFont val="Calibri"/>
        <family val="2"/>
        <scheme val="minor"/>
      </rPr>
      <t>95</t>
    </r>
    <r>
      <rPr>
        <b/>
        <sz val="10"/>
        <color theme="0"/>
        <rFont val="Calibri"/>
        <family val="2"/>
        <scheme val="minor"/>
      </rPr>
      <t xml:space="preserve"> (mm) VOLUMEN PERCENTIL        </t>
    </r>
  </si>
  <si>
    <r>
      <t xml:space="preserve">V </t>
    </r>
    <r>
      <rPr>
        <b/>
        <sz val="8"/>
        <color theme="0"/>
        <rFont val="Calibri"/>
        <family val="2"/>
        <scheme val="minor"/>
      </rPr>
      <t>98</t>
    </r>
    <r>
      <rPr>
        <b/>
        <sz val="10"/>
        <color theme="0"/>
        <rFont val="Calibri"/>
        <family val="2"/>
        <scheme val="minor"/>
      </rPr>
      <t xml:space="preserve"> (mm) VOLUMEN PERCENTIL        </t>
    </r>
  </si>
  <si>
    <t>CALCULO VOLUMEN NETO DISPONIBLE SUDS  (Cajas de infiltración)</t>
  </si>
  <si>
    <t>PROYECTO :</t>
  </si>
  <si>
    <t>FS:</t>
  </si>
  <si>
    <t>RESULTADO ENSAYO BRITANICO (K)</t>
  </si>
  <si>
    <r>
      <t xml:space="preserve">VALOR DE PERMEABILIDAD PARA CALCULO (k)   </t>
    </r>
    <r>
      <rPr>
        <sz val="9"/>
        <color theme="0"/>
        <rFont val="Calibri"/>
        <family val="2"/>
        <scheme val="minor"/>
      </rPr>
      <t>(APLICANDO FACTOR DE SEGURIDAD DE 1,5)</t>
    </r>
  </si>
  <si>
    <t>k (calculo)
(m/h)</t>
  </si>
  <si>
    <t>K (ensayo)
(m/s)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</si>
  <si>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 xml:space="preserve">T
</t>
    </r>
    <r>
      <rPr>
        <b/>
        <sz val="10"/>
        <color theme="1"/>
        <rFont val="Calibri"/>
        <family val="2"/>
        <scheme val="minor"/>
      </rPr>
      <t>(m)</t>
    </r>
  </si>
  <si>
    <t>h1</t>
  </si>
  <si>
    <t>h2</t>
  </si>
  <si>
    <t>Grava</t>
  </si>
  <si>
    <r>
      <t>e</t>
    </r>
    <r>
      <rPr>
        <vertAlign val="subscript"/>
        <sz val="36"/>
        <color theme="1"/>
        <rFont val="Calibri"/>
        <family val="2"/>
        <scheme val="minor"/>
      </rPr>
      <t>T</t>
    </r>
  </si>
  <si>
    <r>
      <t>h</t>
    </r>
    <r>
      <rPr>
        <vertAlign val="subscript"/>
        <sz val="28"/>
        <color theme="1"/>
        <rFont val="Calibri"/>
        <family val="2"/>
        <scheme val="minor"/>
      </rPr>
      <t>T</t>
    </r>
  </si>
  <si>
    <r>
      <t>L</t>
    </r>
    <r>
      <rPr>
        <vertAlign val="subscript"/>
        <sz val="28"/>
        <color theme="1"/>
        <rFont val="Calibri"/>
        <family val="2"/>
        <scheme val="minor"/>
      </rPr>
      <t>T</t>
    </r>
  </si>
  <si>
    <t>n (grava)</t>
  </si>
  <si>
    <r>
      <t>Volumen neto  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</si>
  <si>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r>
      <t>A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</si>
  <si>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h</t>
    </r>
    <r>
      <rPr>
        <vertAlign val="subscript"/>
        <sz val="11"/>
        <color theme="1"/>
        <rFont val="Calibri"/>
        <family val="2"/>
        <scheme val="minor"/>
      </rPr>
      <t xml:space="preserve">max  </t>
    </r>
    <r>
      <rPr>
        <sz val="11"/>
        <color theme="1"/>
        <rFont val="Calibri"/>
        <family val="2"/>
        <scheme val="minor"/>
      </rPr>
      <t>(m)</t>
    </r>
  </si>
  <si>
    <t>P(m)</t>
  </si>
  <si>
    <r>
      <t>t</t>
    </r>
    <r>
      <rPr>
        <vertAlign val="subscript"/>
        <sz val="11"/>
        <color theme="1"/>
        <rFont val="Calibri"/>
        <family val="2"/>
        <scheme val="minor"/>
      </rPr>
      <t>vaciado</t>
    </r>
    <r>
      <rPr>
        <sz val="11"/>
        <color theme="1"/>
        <rFont val="Calibri"/>
        <family val="2"/>
        <scheme val="minor"/>
      </rPr>
      <t xml:space="preserve"> (h)</t>
    </r>
  </si>
  <si>
    <t xml:space="preserve">V 90 (mm) VOLUMEN PERCENTIL        </t>
  </si>
  <si>
    <t>CALCULO VOLUMEN  DISPONIBLE SUDS  (Depositos de Grava)</t>
  </si>
  <si>
    <r>
      <t xml:space="preserve">n </t>
    </r>
    <r>
      <rPr>
        <sz val="10"/>
        <color theme="1"/>
        <rFont val="Calibri"/>
        <family val="2"/>
        <scheme val="minor"/>
      </rPr>
      <t>(grava</t>
    </r>
    <r>
      <rPr>
        <sz val="11"/>
        <color theme="1"/>
        <rFont val="Calibri"/>
        <family val="2"/>
        <scheme val="minor"/>
      </rPr>
      <t>)</t>
    </r>
  </si>
  <si>
    <r>
      <t>Si el material presente en la sección es homogéneo, la longitud 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corresponde a la longitud total de la zanja (LT). En cambio, si cuenta con materiales con diferentes porosidades, la longitud 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correspondería al elemento de mayor porosidad.
Por ejemplo, si fuera una solución mixta con cajas reticulares y gravas, L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sería la longitud total de las cajas, y el volumen calculado sería menor al real (del lado de la seguridad).</t>
    </r>
  </si>
  <si>
    <r>
      <t xml:space="preserve">VALOR DE PERMEABILIDAD PARA CALCULO (k)  
 </t>
    </r>
    <r>
      <rPr>
        <sz val="9"/>
        <color theme="1"/>
        <rFont val="Calibri"/>
        <family val="2"/>
        <scheme val="minor"/>
      </rPr>
      <t>(APLICANDO FACTOR DE SEGURIDAD DE 1,5)</t>
    </r>
  </si>
  <si>
    <t>VALOR INFILTRACIÓN TERRENO</t>
  </si>
  <si>
    <t>CALCULO VOLUMEN 
ESCORRENTIA  A GESTIONAR</t>
  </si>
  <si>
    <r>
      <t>Superf. contacto terreno
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</si>
  <si>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largo caja
(m)</t>
  </si>
  <si>
    <r>
      <t>L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
(m)</t>
    </r>
  </si>
  <si>
    <r>
      <t>Volumen excavación 
(m</t>
    </r>
    <r>
      <rPr>
        <b/>
        <vertAlign val="superscript"/>
        <sz val="10"/>
        <color theme="1"/>
        <rFont val="Calibri"/>
        <family val="2"/>
        <scheme val="minor"/>
      </rPr>
      <t>3</t>
    </r>
    <r>
      <rPr>
        <b/>
        <sz val="10"/>
        <color theme="1"/>
        <rFont val="Calibri"/>
        <family val="2"/>
        <scheme val="minor"/>
      </rPr>
      <t>)</t>
    </r>
  </si>
  <si>
    <r>
      <t>NOTA : El suelo preparado con material orgánico, un espesor de 
h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= 200-500 mm. Sin embargo, cuando el agua procede de zonas con nivel medio de contaminación, el espesor de sustrato debe aumentarse hasta h</t>
    </r>
    <r>
      <rPr>
        <i/>
        <vertAlign val="sub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= 0,80 - 1 m para aumentar la capacidad de biorremediación.</t>
    </r>
  </si>
  <si>
    <t>Infiltración plana: considera la infiltración solo a través de la base.</t>
  </si>
  <si>
    <t>Área de la base de infiltración</t>
  </si>
  <si>
    <t>Pavimento  Zahorra</t>
  </si>
  <si>
    <t>(1) NOTA: el valor del coeficiente de almacenaje de las cajas (valor 0 y 1 ) caracteristica del fabricante</t>
  </si>
  <si>
    <t xml:space="preserve">V 80 (mm) VOLUMEN PERCENTIL        </t>
  </si>
  <si>
    <t>Tiempo de  vaciado (h) &lt; 48  h</t>
  </si>
  <si>
    <t>Tiempo de vaciado (h) &lt; 48 h</t>
  </si>
  <si>
    <r>
      <t>n
COEFICIENTE ALMACENAJE DE LA CAJA</t>
    </r>
    <r>
      <rPr>
        <b/>
        <vertAlign val="superscript"/>
        <sz val="10"/>
        <color theme="1"/>
        <rFont val="Calibri"/>
        <family val="2"/>
        <scheme val="minor"/>
      </rPr>
      <t>(1)</t>
    </r>
  </si>
  <si>
    <t>Método del CIRIA Report 153 (Bettess, 1996): considera la infiltración a través de la base y los laterales. Por lo tanto, el tiempo de vaciado está relacionado con la superficie de contacto con el terreno.</t>
  </si>
  <si>
    <t>El calculo se realiza de acuerdo con un paralelepipedo, una vez diseñado el jardín de lluvia y conformados los taludes, la capacidad del mismo aumentará, quedando del lado de la seguridad.</t>
  </si>
  <si>
    <t>NOTA : Para el cálculo del volumen real necesario, se deberá realizar ensayo de huecos de la Grava seleccionada para el relleno y aplicar al volumen  generado el Coeficiente de huecos (n).</t>
  </si>
  <si>
    <r>
      <t xml:space="preserve">CALCULO VOLUMEN DISPONIBLE SUDS  ( Jardín de lluvia - </t>
    </r>
    <r>
      <rPr>
        <b/>
        <u/>
        <sz val="11"/>
        <color theme="0"/>
        <rFont val="Calibri"/>
        <family val="2"/>
        <scheme val="minor"/>
      </rPr>
      <t>Almacenamiento superficial + material orgánico</t>
    </r>
    <r>
      <rPr>
        <b/>
        <sz val="11"/>
        <color theme="0"/>
        <rFont val="Calibri"/>
        <family val="2"/>
        <scheme val="minor"/>
      </rPr>
      <t xml:space="preserve"> )</t>
    </r>
  </si>
  <si>
    <r>
      <t>CALCULO VOLUMEN DISPONIBLE SUDS  ( Jardín de lluvia-</t>
    </r>
    <r>
      <rPr>
        <b/>
        <u/>
        <sz val="11"/>
        <color theme="0"/>
        <rFont val="Calibri"/>
        <family val="2"/>
        <scheme val="minor"/>
      </rPr>
      <t xml:space="preserve"> Solo almacenamiento superficial</t>
    </r>
    <r>
      <rPr>
        <b/>
        <sz val="11"/>
        <color theme="0"/>
        <rFont val="Calibri"/>
        <family val="2"/>
        <scheme val="minor"/>
      </rPr>
      <t xml:space="preserve"> )</t>
    </r>
  </si>
  <si>
    <t>Columna de agua almacenada en material orgánico (m)</t>
  </si>
  <si>
    <t xml:space="preserve">       K           =</t>
  </si>
  <si>
    <r>
      <t xml:space="preserve">       h</t>
    </r>
    <r>
      <rPr>
        <vertAlign val="subscript"/>
        <sz val="11"/>
        <color theme="1"/>
        <rFont val="Calibri"/>
        <family val="2"/>
        <scheme val="minor"/>
      </rPr>
      <t xml:space="preserve"> 1           </t>
    </r>
    <r>
      <rPr>
        <sz val="11"/>
        <color theme="1"/>
        <rFont val="Calibri"/>
        <family val="2"/>
        <scheme val="minor"/>
      </rPr>
      <t xml:space="preserve"> =</t>
    </r>
  </si>
  <si>
    <r>
      <t xml:space="preserve">       h</t>
    </r>
    <r>
      <rPr>
        <vertAlign val="subscript"/>
        <sz val="11"/>
        <color theme="1"/>
        <rFont val="Calibri"/>
        <family val="2"/>
        <scheme val="minor"/>
      </rPr>
      <t xml:space="preserve"> 2</t>
    </r>
    <r>
      <rPr>
        <sz val="11"/>
        <color theme="1"/>
        <rFont val="Calibri"/>
        <family val="2"/>
        <scheme val="minor"/>
      </rPr>
      <t xml:space="preserve">        =</t>
    </r>
  </si>
  <si>
    <r>
      <t xml:space="preserve">       A</t>
    </r>
    <r>
      <rPr>
        <sz val="8"/>
        <color theme="1"/>
        <rFont val="Calibri"/>
        <family val="2"/>
        <scheme val="minor"/>
      </rPr>
      <t xml:space="preserve">b            </t>
    </r>
    <r>
      <rPr>
        <sz val="11"/>
        <color theme="1"/>
        <rFont val="Calibri"/>
        <family val="2"/>
        <scheme val="minor"/>
      </rPr>
      <t>=</t>
    </r>
  </si>
  <si>
    <r>
      <t xml:space="preserve">       t </t>
    </r>
    <r>
      <rPr>
        <vertAlign val="subscript"/>
        <sz val="11"/>
        <color theme="1"/>
        <rFont val="Calibri"/>
        <family val="2"/>
        <scheme val="minor"/>
      </rPr>
      <t xml:space="preserve">vaciado  </t>
    </r>
    <r>
      <rPr>
        <sz val="11"/>
        <color theme="1"/>
        <rFont val="Calibri"/>
        <family val="2"/>
        <scheme val="minor"/>
      </rPr>
      <t>=</t>
    </r>
  </si>
  <si>
    <r>
      <t xml:space="preserve">Columna de agua almacenada superficial (m) </t>
    </r>
    <r>
      <rPr>
        <sz val="10"/>
        <color theme="1"/>
        <rFont val="Calibri"/>
        <family val="2"/>
      </rPr>
      <t>→</t>
    </r>
    <r>
      <rPr>
        <sz val="10"/>
        <color theme="1"/>
        <rFont val="Calibri"/>
        <family val="2"/>
        <scheme val="minor"/>
      </rPr>
      <t xml:space="preserve"> Maximo: 0,3 m</t>
    </r>
  </si>
  <si>
    <r>
      <t>n</t>
    </r>
    <r>
      <rPr>
        <vertAlign val="subscript"/>
        <sz val="11"/>
        <color theme="1"/>
        <rFont val="Calibri"/>
        <family val="2"/>
        <scheme val="minor"/>
      </rPr>
      <t>1</t>
    </r>
  </si>
  <si>
    <r>
      <t>Coeficiente de huecos
"n</t>
    </r>
    <r>
      <rPr>
        <b/>
        <vertAlign val="sub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>"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</si>
  <si>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</si>
  <si>
    <r>
      <t>Coeficiente de huecos mat.organico
"n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"</t>
    </r>
  </si>
  <si>
    <r>
      <t>h</t>
    </r>
    <r>
      <rPr>
        <vertAlign val="subscript"/>
        <sz val="11"/>
        <color theme="1"/>
        <rFont val="Calibri"/>
        <family val="2"/>
        <scheme val="minor"/>
      </rPr>
      <t xml:space="preserve">1  </t>
    </r>
    <r>
      <rPr>
        <sz val="11"/>
        <color theme="1"/>
        <rFont val="Calibri"/>
        <family val="2"/>
        <scheme val="minor"/>
      </rPr>
      <t>(m)</t>
    </r>
  </si>
  <si>
    <r>
      <t>h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h</t>
    </r>
    <r>
      <rPr>
        <vertAlign val="subscript"/>
        <sz val="11"/>
        <color theme="1"/>
        <rFont val="Calibri"/>
        <family val="2"/>
        <scheme val="minor"/>
      </rPr>
      <t xml:space="preserve">2  </t>
    </r>
    <r>
      <rPr>
        <sz val="11"/>
        <color theme="1"/>
        <rFont val="Calibri"/>
        <family val="2"/>
        <scheme val="minor"/>
      </rPr>
      <t>(m)</t>
    </r>
  </si>
  <si>
    <t xml:space="preserve">       n          =</t>
  </si>
  <si>
    <r>
      <t>NOTA: debe seleccionarse el valor  de "n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" y "n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" correspondiente a cada capa de almacenaje en ambas tablas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</si>
</sst>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\ \ &quot;m3&quot;"/>
    <numFmt numFmtId="165" formatCode="0.0%"/>
    <numFmt numFmtId="166" formatCode="0.0000"/>
    <numFmt numFmtId="167" formatCode="0.000"/>
    <numFmt numFmtId="168" formatCode="0.000000E+00\ \ &quot;m/s&quot;"/>
    <numFmt numFmtId="169" formatCode="0.0000000"/>
    <numFmt numFmtId="170" formatCode="0.0"/>
    <numFmt numFmtId="171" formatCode="0.00000"/>
    <numFmt numFmtId="172" formatCode="0.000\ &quot;m/h&quot;"/>
  </numFmts>
  <fonts count="4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5.4"/>
      <color theme="0"/>
      <name val="Segoe U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vertAlign val="subscript"/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vertAlign val="subscript"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25098422193060094"/>
        </stop>
      </gradientFill>
    </fill>
    <fill>
      <patternFill patternType="solid">
        <fgColor rgb="FFEEECE1"/>
        <bgColor indexed="64"/>
      </patternFill>
    </fill>
    <fill>
      <patternFill patternType="solid">
        <fgColor rgb="FFDCE6F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9" fontId="19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Protection="1"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/>
    </xf>
    <xf numFmtId="0" fontId="8" fillId="0" borderId="27" xfId="0" applyFont="1" applyBorder="1" applyProtection="1"/>
    <xf numFmtId="0" fontId="8" fillId="0" borderId="23" xfId="0" applyFont="1" applyBorder="1" applyProtection="1"/>
    <xf numFmtId="0" fontId="0" fillId="0" borderId="17" xfId="0" applyBorder="1" applyAlignment="1" applyProtection="1">
      <alignment horizontal="center"/>
    </xf>
    <xf numFmtId="0" fontId="8" fillId="0" borderId="0" xfId="0" applyFont="1" applyBorder="1" applyProtection="1"/>
    <xf numFmtId="0" fontId="8" fillId="0" borderId="28" xfId="0" applyFont="1" applyBorder="1" applyProtection="1"/>
    <xf numFmtId="0" fontId="14" fillId="0" borderId="0" xfId="0" applyFont="1"/>
    <xf numFmtId="165" fontId="14" fillId="0" borderId="0" xfId="0" applyNumberFormat="1" applyFont="1"/>
    <xf numFmtId="0" fontId="17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0" fillId="0" borderId="29" xfId="0" applyBorder="1" applyProtection="1"/>
    <xf numFmtId="0" fontId="0" fillId="0" borderId="27" xfId="0" applyBorder="1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22" xfId="0" applyBorder="1" applyProtection="1"/>
    <xf numFmtId="0" fontId="0" fillId="0" borderId="17" xfId="0" applyBorder="1" applyProtection="1"/>
    <xf numFmtId="0" fontId="0" fillId="0" borderId="12" xfId="0" applyBorder="1" applyProtection="1"/>
    <xf numFmtId="0" fontId="8" fillId="0" borderId="0" xfId="0" applyFont="1" applyBorder="1" applyAlignment="1" applyProtection="1">
      <alignment vertical="center"/>
    </xf>
    <xf numFmtId="165" fontId="14" fillId="0" borderId="0" xfId="2" applyNumberFormat="1" applyFont="1"/>
    <xf numFmtId="0" fontId="0" fillId="0" borderId="0" xfId="0" applyBorder="1" applyAlignment="1" applyProtection="1">
      <alignment horizontal="center"/>
    </xf>
    <xf numFmtId="166" fontId="0" fillId="0" borderId="0" xfId="0" applyNumberFormat="1" applyBorder="1" applyAlignment="1" applyProtection="1">
      <alignment horizontal="center"/>
    </xf>
    <xf numFmtId="167" fontId="0" fillId="0" borderId="0" xfId="0" applyNumberFormat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 vertical="center"/>
    </xf>
    <xf numFmtId="2" fontId="0" fillId="9" borderId="5" xfId="0" applyNumberForma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2" fontId="0" fillId="9" borderId="11" xfId="0" applyNumberFormat="1" applyFill="1" applyBorder="1" applyAlignment="1" applyProtection="1">
      <alignment horizontal="center" vertical="center"/>
    </xf>
    <xf numFmtId="4" fontId="0" fillId="9" borderId="9" xfId="0" applyNumberFormat="1" applyFill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</xf>
    <xf numFmtId="2" fontId="0" fillId="4" borderId="19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 applyProtection="1">
      <alignment horizontal="center" vertical="center" wrapText="1"/>
    </xf>
    <xf numFmtId="0" fontId="18" fillId="8" borderId="1" xfId="0" applyNumberFormat="1" applyFont="1" applyFill="1" applyBorder="1" applyAlignment="1" applyProtection="1">
      <alignment horizontal="center" vertical="center"/>
    </xf>
    <xf numFmtId="4" fontId="0" fillId="9" borderId="21" xfId="0" applyNumberFormat="1" applyFill="1" applyBorder="1" applyAlignment="1" applyProtection="1">
      <alignment horizontal="center" vertical="center"/>
    </xf>
    <xf numFmtId="2" fontId="0" fillId="9" borderId="1" xfId="0" applyNumberForma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/>
    </xf>
    <xf numFmtId="2" fontId="0" fillId="9" borderId="1" xfId="0" applyNumberFormat="1" applyFill="1" applyBorder="1" applyAlignment="1" applyProtection="1">
      <alignment horizontal="center"/>
    </xf>
    <xf numFmtId="169" fontId="0" fillId="9" borderId="7" xfId="0" applyNumberFormat="1" applyFill="1" applyBorder="1" applyAlignment="1" applyProtection="1">
      <alignment horizontal="center" vertical="center"/>
    </xf>
    <xf numFmtId="169" fontId="0" fillId="9" borderId="14" xfId="0" applyNumberForma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2" fontId="0" fillId="9" borderId="24" xfId="0" applyNumberFormat="1" applyFill="1" applyBorder="1" applyAlignment="1" applyProtection="1">
      <alignment horizontal="center" vertical="center"/>
    </xf>
    <xf numFmtId="2" fontId="0" fillId="9" borderId="2" xfId="0" applyNumberFormat="1" applyFill="1" applyBorder="1" applyAlignment="1" applyProtection="1">
      <alignment horizontal="center" vertical="center"/>
    </xf>
    <xf numFmtId="2" fontId="0" fillId="9" borderId="15" xfId="0" applyNumberFormat="1" applyFill="1" applyBorder="1" applyAlignment="1" applyProtection="1">
      <alignment horizontal="center" vertical="center"/>
    </xf>
    <xf numFmtId="0" fontId="18" fillId="10" borderId="3" xfId="0" applyFont="1" applyFill="1" applyBorder="1" applyAlignment="1" applyProtection="1">
      <alignment horizontal="center" vertical="center" wrapText="1"/>
    </xf>
    <xf numFmtId="0" fontId="0" fillId="9" borderId="14" xfId="0" applyFill="1" applyBorder="1" applyAlignment="1" applyProtection="1">
      <alignment horizontal="center" vertical="center"/>
    </xf>
    <xf numFmtId="166" fontId="0" fillId="9" borderId="15" xfId="0" applyNumberFormat="1" applyFill="1" applyBorder="1" applyAlignment="1" applyProtection="1">
      <alignment horizontal="center" vertical="center"/>
    </xf>
    <xf numFmtId="167" fontId="0" fillId="9" borderId="16" xfId="0" applyNumberFormat="1" applyFill="1" applyBorder="1" applyAlignment="1" applyProtection="1">
      <alignment horizontal="center" vertical="center"/>
    </xf>
    <xf numFmtId="166" fontId="0" fillId="0" borderId="23" xfId="0" applyNumberFormat="1" applyBorder="1" applyAlignment="1" applyProtection="1">
      <alignment horizontal="center"/>
    </xf>
    <xf numFmtId="166" fontId="0" fillId="0" borderId="28" xfId="0" applyNumberFormat="1" applyBorder="1" applyAlignment="1" applyProtection="1">
      <alignment horizontal="center"/>
    </xf>
    <xf numFmtId="166" fontId="0" fillId="0" borderId="29" xfId="0" applyNumberFormat="1" applyBorder="1" applyAlignment="1" applyProtection="1">
      <alignment horizontal="center"/>
    </xf>
    <xf numFmtId="0" fontId="2" fillId="7" borderId="27" xfId="0" applyFont="1" applyFill="1" applyBorder="1" applyAlignment="1" applyProtection="1">
      <alignment horizontal="center"/>
      <protection locked="0"/>
    </xf>
    <xf numFmtId="0" fontId="0" fillId="7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165" fontId="0" fillId="7" borderId="0" xfId="0" applyNumberFormat="1" applyFill="1" applyBorder="1" applyAlignment="1" applyProtection="1">
      <alignment horizontal="center"/>
      <protection locked="0"/>
    </xf>
    <xf numFmtId="166" fontId="0" fillId="0" borderId="13" xfId="0" applyNumberForma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2" fontId="0" fillId="0" borderId="2" xfId="0" applyNumberFormat="1" applyBorder="1" applyAlignment="1" applyProtection="1">
      <alignment horizontal="center"/>
    </xf>
    <xf numFmtId="2" fontId="0" fillId="0" borderId="8" xfId="0" applyNumberFormat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2" fontId="2" fillId="3" borderId="2" xfId="0" applyNumberFormat="1" applyFont="1" applyFill="1" applyBorder="1" applyAlignment="1" applyProtection="1">
      <alignment horizontal="center"/>
    </xf>
    <xf numFmtId="2" fontId="2" fillId="3" borderId="8" xfId="0" applyNumberFormat="1" applyFont="1" applyFill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2" fontId="0" fillId="0" borderId="15" xfId="0" applyNumberFormat="1" applyBorder="1" applyAlignment="1" applyProtection="1">
      <alignment horizontal="center"/>
    </xf>
    <xf numFmtId="2" fontId="0" fillId="0" borderId="16" xfId="0" applyNumberFormat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0" fillId="0" borderId="28" xfId="0" applyBorder="1" applyProtection="1"/>
    <xf numFmtId="2" fontId="0" fillId="0" borderId="19" xfId="0" applyNumberFormat="1" applyBorder="1" applyAlignment="1" applyProtection="1">
      <alignment horizontal="center" vertical="center"/>
      <protection locked="0"/>
    </xf>
    <xf numFmtId="2" fontId="25" fillId="0" borderId="0" xfId="0" applyNumberFormat="1" applyFont="1" applyFill="1" applyBorder="1" applyAlignment="1" applyProtection="1">
      <alignment horizontal="right" vertical="center"/>
    </xf>
    <xf numFmtId="170" fontId="25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64" fontId="3" fillId="4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69" fontId="0" fillId="9" borderId="4" xfId="0" applyNumberFormat="1" applyFill="1" applyBorder="1" applyAlignment="1" applyProtection="1">
      <alignment horizontal="center" vertical="center"/>
    </xf>
    <xf numFmtId="2" fontId="0" fillId="9" borderId="33" xfId="0" applyNumberFormat="1" applyFill="1" applyBorder="1" applyAlignment="1" applyProtection="1">
      <alignment horizontal="center" vertical="center"/>
    </xf>
    <xf numFmtId="2" fontId="0" fillId="9" borderId="11" xfId="0" applyNumberFormat="1" applyFill="1" applyBorder="1" applyAlignment="1" applyProtection="1">
      <alignment horizontal="center" vertical="center"/>
    </xf>
    <xf numFmtId="0" fontId="30" fillId="0" borderId="0" xfId="0" applyFont="1" applyAlignment="1">
      <alignment horizontal="center" vertical="top"/>
    </xf>
    <xf numFmtId="0" fontId="32" fillId="0" borderId="0" xfId="0" applyFont="1" applyAlignment="1">
      <alignment horizontal="right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28" fillId="0" borderId="0" xfId="0" applyNumberFormat="1" applyFont="1" applyProtection="1"/>
    <xf numFmtId="2" fontId="0" fillId="9" borderId="37" xfId="0" applyNumberForma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5" fillId="0" borderId="0" xfId="0" applyFont="1" applyProtection="1"/>
    <xf numFmtId="0" fontId="0" fillId="0" borderId="12" xfId="0" applyFill="1" applyBorder="1" applyAlignment="1" applyProtection="1">
      <alignment horizontal="center"/>
    </xf>
    <xf numFmtId="0" fontId="8" fillId="0" borderId="13" xfId="0" applyFont="1" applyBorder="1" applyAlignment="1" applyProtection="1">
      <alignment vertical="center"/>
    </xf>
    <xf numFmtId="0" fontId="4" fillId="10" borderId="3" xfId="0" applyFont="1" applyFill="1" applyBorder="1" applyAlignment="1" applyProtection="1">
      <alignment horizontal="center" vertical="center" wrapText="1"/>
    </xf>
    <xf numFmtId="4" fontId="2" fillId="3" borderId="38" xfId="0" applyNumberFormat="1" applyFont="1" applyFill="1" applyBorder="1" applyAlignment="1" applyProtection="1">
      <alignment horizontal="center" vertical="center"/>
    </xf>
    <xf numFmtId="4" fontId="0" fillId="4" borderId="4" xfId="0" applyNumberFormat="1" applyFill="1" applyBorder="1" applyAlignment="1" applyProtection="1">
      <alignment horizontal="center" vertical="center"/>
      <protection locked="0"/>
    </xf>
    <xf numFmtId="4" fontId="0" fillId="4" borderId="7" xfId="0" applyNumberFormat="1" applyFill="1" applyBorder="1" applyAlignment="1" applyProtection="1">
      <alignment horizontal="center" vertical="center"/>
      <protection locked="0"/>
    </xf>
    <xf numFmtId="4" fontId="0" fillId="4" borderId="14" xfId="0" applyNumberFormat="1" applyFill="1" applyBorder="1" applyAlignment="1" applyProtection="1">
      <alignment horizontal="center" vertical="center"/>
      <protection locked="0"/>
    </xf>
    <xf numFmtId="167" fontId="0" fillId="9" borderId="5" xfId="0" applyNumberFormat="1" applyFill="1" applyBorder="1" applyAlignment="1" applyProtection="1">
      <alignment horizontal="center" vertical="center"/>
    </xf>
    <xf numFmtId="167" fontId="0" fillId="9" borderId="2" xfId="0" applyNumberFormat="1" applyFill="1" applyBorder="1" applyAlignment="1" applyProtection="1">
      <alignment horizontal="center" vertical="center"/>
    </xf>
    <xf numFmtId="167" fontId="0" fillId="9" borderId="15" xfId="0" applyNumberFormat="1" applyFill="1" applyBorder="1" applyAlignment="1" applyProtection="1">
      <alignment horizontal="center" vertical="center"/>
    </xf>
    <xf numFmtId="167" fontId="0" fillId="9" borderId="24" xfId="0" applyNumberFormat="1" applyFill="1" applyBorder="1" applyAlignment="1" applyProtection="1">
      <alignment horizontal="center" vertical="center"/>
    </xf>
    <xf numFmtId="171" fontId="0" fillId="0" borderId="0" xfId="0" applyNumberFormat="1" applyProtection="1"/>
    <xf numFmtId="167" fontId="0" fillId="9" borderId="33" xfId="0" applyNumberFormat="1" applyFill="1" applyBorder="1" applyAlignment="1" applyProtection="1">
      <alignment horizontal="center" vertical="center"/>
    </xf>
    <xf numFmtId="11" fontId="0" fillId="9" borderId="5" xfId="0" applyNumberFormat="1" applyFill="1" applyBorder="1" applyAlignment="1" applyProtection="1">
      <alignment horizontal="center" vertical="center"/>
    </xf>
    <xf numFmtId="11" fontId="0" fillId="9" borderId="2" xfId="0" applyNumberFormat="1" applyFill="1" applyBorder="1" applyAlignment="1" applyProtection="1">
      <alignment horizontal="center" vertical="center"/>
    </xf>
    <xf numFmtId="11" fontId="0" fillId="9" borderId="15" xfId="0" applyNumberFormat="1" applyFill="1" applyBorder="1" applyAlignment="1" applyProtection="1">
      <alignment horizontal="center" vertical="center"/>
    </xf>
    <xf numFmtId="170" fontId="0" fillId="9" borderId="4" xfId="0" applyNumberFormat="1" applyFill="1" applyBorder="1" applyAlignment="1" applyProtection="1">
      <alignment horizontal="center" vertical="center"/>
    </xf>
    <xf numFmtId="170" fontId="0" fillId="9" borderId="7" xfId="0" applyNumberFormat="1" applyFill="1" applyBorder="1" applyAlignment="1" applyProtection="1">
      <alignment horizontal="center" vertical="center"/>
    </xf>
    <xf numFmtId="170" fontId="0" fillId="9" borderId="14" xfId="0" applyNumberFormat="1" applyFill="1" applyBorder="1" applyAlignment="1" applyProtection="1">
      <alignment horizontal="center" vertical="center"/>
    </xf>
    <xf numFmtId="4" fontId="0" fillId="9" borderId="10" xfId="0" applyNumberFormat="1" applyFill="1" applyBorder="1" applyAlignment="1" applyProtection="1">
      <alignment horizontal="center" vertical="center"/>
    </xf>
    <xf numFmtId="170" fontId="0" fillId="0" borderId="40" xfId="0" applyNumberFormat="1" applyFill="1" applyBorder="1" applyAlignment="1" applyProtection="1">
      <alignment horizontal="center" vertical="center"/>
      <protection locked="0"/>
    </xf>
    <xf numFmtId="170" fontId="0" fillId="9" borderId="5" xfId="0" applyNumberFormat="1" applyFill="1" applyBorder="1" applyAlignment="1" applyProtection="1">
      <alignment horizontal="center" vertical="center"/>
    </xf>
    <xf numFmtId="170" fontId="0" fillId="9" borderId="2" xfId="0" applyNumberFormat="1" applyFill="1" applyBorder="1" applyAlignment="1" applyProtection="1">
      <alignment horizontal="center" vertical="center"/>
    </xf>
    <xf numFmtId="170" fontId="0" fillId="9" borderId="15" xfId="0" applyNumberFormat="1" applyFill="1" applyBorder="1" applyAlignment="1" applyProtection="1">
      <alignment horizontal="center" vertical="center"/>
    </xf>
    <xf numFmtId="0" fontId="36" fillId="0" borderId="0" xfId="0" quotePrefix="1" applyFont="1" applyBorder="1" applyAlignment="1" applyProtection="1">
      <alignment vertical="top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0" fillId="9" borderId="26" xfId="0" applyFill="1" applyBorder="1" applyAlignment="1" applyProtection="1">
      <alignment horizontal="center" vertical="center"/>
      <protection hidden="1"/>
    </xf>
    <xf numFmtId="4" fontId="0" fillId="9" borderId="30" xfId="0" applyNumberForma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0" fillId="9" borderId="31" xfId="0" applyFill="1" applyBorder="1" applyAlignment="1" applyProtection="1">
      <alignment horizontal="center" vertical="center"/>
      <protection hidden="1"/>
    </xf>
    <xf numFmtId="4" fontId="0" fillId="9" borderId="48" xfId="0" applyNumberForma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0" fillId="9" borderId="39" xfId="0" applyFill="1" applyBorder="1" applyAlignment="1" applyProtection="1">
      <alignment horizontal="center" vertical="center"/>
      <protection hidden="1"/>
    </xf>
    <xf numFmtId="4" fontId="0" fillId="9" borderId="16" xfId="0" applyNumberFormat="1" applyFill="1" applyBorder="1" applyAlignment="1" applyProtection="1">
      <alignment horizontal="center" vertical="center"/>
      <protection hidden="1"/>
    </xf>
    <xf numFmtId="0" fontId="0" fillId="9" borderId="5" xfId="0" applyFill="1" applyBorder="1" applyAlignment="1" applyProtection="1">
      <alignment horizontal="center" vertical="center"/>
      <protection hidden="1"/>
    </xf>
    <xf numFmtId="4" fontId="0" fillId="9" borderId="6" xfId="0" applyNumberFormat="1" applyFill="1" applyBorder="1" applyAlignment="1" applyProtection="1">
      <alignment horizontal="center" vertical="center"/>
      <protection hidden="1"/>
    </xf>
    <xf numFmtId="0" fontId="0" fillId="9" borderId="2" xfId="0" applyFill="1" applyBorder="1" applyAlignment="1" applyProtection="1">
      <alignment horizontal="center" vertical="center"/>
      <protection hidden="1"/>
    </xf>
    <xf numFmtId="4" fontId="0" fillId="9" borderId="8" xfId="0" applyNumberFormat="1" applyFill="1" applyBorder="1" applyAlignment="1" applyProtection="1">
      <alignment horizontal="center" vertical="center"/>
      <protection hidden="1"/>
    </xf>
    <xf numFmtId="0" fontId="0" fillId="9" borderId="15" xfId="0" applyFill="1" applyBorder="1" applyAlignment="1" applyProtection="1">
      <alignment horizontal="center" vertical="center"/>
      <protection hidden="1"/>
    </xf>
    <xf numFmtId="0" fontId="0" fillId="9" borderId="2" xfId="0" applyFill="1" applyBorder="1" applyAlignment="1" applyProtection="1">
      <alignment horizontal="center" vertical="center"/>
    </xf>
    <xf numFmtId="0" fontId="0" fillId="9" borderId="15" xfId="0" applyFill="1" applyBorder="1" applyAlignment="1" applyProtection="1">
      <alignment horizontal="center" vertical="center"/>
    </xf>
    <xf numFmtId="0" fontId="0" fillId="9" borderId="5" xfId="0" applyFill="1" applyBorder="1" applyAlignment="1" applyProtection="1">
      <alignment horizontal="center" vertical="center"/>
    </xf>
    <xf numFmtId="167" fontId="0" fillId="9" borderId="40" xfId="0" applyNumberFormat="1" applyFill="1" applyBorder="1" applyAlignment="1" applyProtection="1">
      <alignment horizontal="center" vertical="center"/>
      <protection hidden="1"/>
    </xf>
    <xf numFmtId="167" fontId="0" fillId="9" borderId="1" xfId="0" applyNumberFormat="1" applyFill="1" applyBorder="1" applyAlignment="1" applyProtection="1">
      <alignment horizontal="center" vertical="center"/>
      <protection hidden="1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2" fontId="0" fillId="4" borderId="49" xfId="0" applyNumberFormat="1" applyFill="1" applyBorder="1" applyAlignment="1" applyProtection="1">
      <alignment horizontal="center" vertical="center"/>
      <protection locked="0"/>
    </xf>
    <xf numFmtId="2" fontId="0" fillId="9" borderId="50" xfId="0" applyNumberFormat="1" applyFill="1" applyBorder="1" applyAlignment="1" applyProtection="1">
      <alignment horizontal="center" vertical="center"/>
    </xf>
    <xf numFmtId="2" fontId="0" fillId="9" borderId="45" xfId="0" applyNumberFormat="1" applyFill="1" applyBorder="1" applyAlignment="1" applyProtection="1">
      <alignment horizontal="center" vertical="center"/>
    </xf>
    <xf numFmtId="2" fontId="0" fillId="9" borderId="51" xfId="0" applyNumberForma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0" fontId="0" fillId="3" borderId="52" xfId="0" applyFill="1" applyBorder="1" applyAlignment="1" applyProtection="1">
      <alignment horizontal="center" vertical="center" wrapText="1"/>
    </xf>
    <xf numFmtId="0" fontId="0" fillId="3" borderId="37" xfId="0" applyFill="1" applyBorder="1" applyAlignment="1" applyProtection="1">
      <alignment horizontal="center" vertical="center" wrapText="1"/>
    </xf>
    <xf numFmtId="2" fontId="0" fillId="9" borderId="5" xfId="0" applyNumberFormat="1" applyFill="1" applyBorder="1" applyAlignment="1" applyProtection="1">
      <alignment horizontal="center" vertical="center"/>
      <protection hidden="1"/>
    </xf>
    <xf numFmtId="2" fontId="0" fillId="9" borderId="2" xfId="0" applyNumberFormat="1" applyFill="1" applyBorder="1" applyAlignment="1" applyProtection="1">
      <alignment horizontal="center" vertical="center"/>
      <protection hidden="1"/>
    </xf>
    <xf numFmtId="2" fontId="0" fillId="9" borderId="15" xfId="0" applyNumberFormat="1" applyFill="1" applyBorder="1" applyAlignment="1" applyProtection="1">
      <alignment horizontal="center" vertical="center"/>
      <protection hidden="1"/>
    </xf>
    <xf numFmtId="2" fontId="14" fillId="0" borderId="0" xfId="0" applyNumberFormat="1" applyFont="1" applyProtection="1">
      <protection hidden="1"/>
    </xf>
    <xf numFmtId="0" fontId="0" fillId="3" borderId="48" xfId="0" applyFill="1" applyBorder="1" applyAlignment="1" applyProtection="1">
      <alignment horizontal="center" vertical="center" wrapText="1"/>
    </xf>
    <xf numFmtId="0" fontId="8" fillId="3" borderId="52" xfId="0" applyFont="1" applyFill="1" applyBorder="1" applyAlignment="1" applyProtection="1">
      <alignment horizontal="center" vertical="center" wrapText="1"/>
    </xf>
    <xf numFmtId="0" fontId="8" fillId="3" borderId="37" xfId="0" applyFont="1" applyFill="1" applyBorder="1" applyAlignment="1" applyProtection="1">
      <alignment horizontal="center" vertical="center" wrapText="1"/>
    </xf>
    <xf numFmtId="167" fontId="14" fillId="2" borderId="6" xfId="0" applyNumberFormat="1" applyFont="1" applyFill="1" applyBorder="1" applyAlignment="1" applyProtection="1">
      <alignment horizontal="center" vertical="center"/>
      <protection hidden="1"/>
    </xf>
    <xf numFmtId="2" fontId="0" fillId="9" borderId="50" xfId="0" applyNumberFormat="1" applyFill="1" applyBorder="1" applyAlignment="1" applyProtection="1">
      <alignment horizontal="center" vertical="center"/>
      <protection hidden="1"/>
    </xf>
    <xf numFmtId="2" fontId="0" fillId="9" borderId="53" xfId="0" applyNumberFormat="1" applyFill="1" applyBorder="1" applyAlignment="1" applyProtection="1">
      <alignment horizontal="center" vertical="center"/>
      <protection hidden="1"/>
    </xf>
    <xf numFmtId="2" fontId="0" fillId="9" borderId="49" xfId="0" applyNumberFormat="1" applyFill="1" applyBorder="1" applyAlignment="1" applyProtection="1">
      <alignment horizontal="center" vertical="center"/>
      <protection hidden="1"/>
    </xf>
    <xf numFmtId="167" fontId="14" fillId="2" borderId="40" xfId="0" applyNumberFormat="1" applyFont="1" applyFill="1" applyBorder="1" applyAlignment="1" applyProtection="1">
      <alignment horizontal="center" vertical="center"/>
      <protection hidden="1"/>
    </xf>
    <xf numFmtId="167" fontId="14" fillId="2" borderId="54" xfId="0" applyNumberFormat="1" applyFont="1" applyFill="1" applyBorder="1" applyAlignment="1" applyProtection="1">
      <alignment horizontal="center" vertical="center"/>
      <protection hidden="1"/>
    </xf>
    <xf numFmtId="167" fontId="14" fillId="2" borderId="55" xfId="0" applyNumberFormat="1" applyFont="1" applyFill="1" applyBorder="1" applyAlignment="1" applyProtection="1">
      <alignment horizontal="center" vertical="center"/>
      <protection hidden="1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21" xfId="0" applyNumberFormat="1" applyFill="1" applyBorder="1" applyAlignment="1" applyProtection="1">
      <alignment horizontal="center" vertical="center"/>
      <protection locked="0"/>
    </xf>
    <xf numFmtId="2" fontId="0" fillId="4" borderId="39" xfId="0" applyNumberFormat="1" applyFill="1" applyBorder="1" applyAlignment="1" applyProtection="1">
      <alignment horizontal="center" vertical="center"/>
      <protection locked="0"/>
    </xf>
    <xf numFmtId="1" fontId="0" fillId="9" borderId="1" xfId="0" applyNumberFormat="1" applyFill="1" applyBorder="1" applyAlignment="1" applyProtection="1">
      <alignment horizontal="center" vertical="center"/>
      <protection hidden="1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167" fontId="0" fillId="9" borderId="1" xfId="0" applyNumberFormat="1" applyFill="1" applyBorder="1" applyAlignment="1" applyProtection="1">
      <alignment horizontal="center" vertical="center"/>
    </xf>
    <xf numFmtId="2" fontId="3" fillId="2" borderId="56" xfId="0" applyNumberFormat="1" applyFont="1" applyFill="1" applyBorder="1" applyAlignment="1" applyProtection="1">
      <alignment horizontal="center" vertical="center"/>
      <protection hidden="1"/>
    </xf>
    <xf numFmtId="2" fontId="3" fillId="2" borderId="11" xfId="0" applyNumberFormat="1" applyFont="1" applyFill="1" applyBorder="1" applyAlignment="1" applyProtection="1">
      <alignment horizontal="center" vertical="center"/>
      <protection hidden="1"/>
    </xf>
    <xf numFmtId="2" fontId="0" fillId="9" borderId="40" xfId="0" applyNumberFormat="1" applyFill="1" applyBorder="1" applyAlignment="1" applyProtection="1">
      <alignment horizontal="center" vertical="center"/>
      <protection hidden="1"/>
    </xf>
    <xf numFmtId="2" fontId="0" fillId="9" borderId="1" xfId="0" applyNumberFormat="1" applyFill="1" applyBorder="1" applyAlignment="1" applyProtection="1">
      <alignment horizontal="center" vertical="center"/>
      <protection hidden="1"/>
    </xf>
    <xf numFmtId="2" fontId="0" fillId="9" borderId="37" xfId="0" applyNumberFormat="1" applyFill="1" applyBorder="1" applyAlignment="1" applyProtection="1">
      <alignment horizontal="center" vertical="center"/>
      <protection hidden="1"/>
    </xf>
    <xf numFmtId="167" fontId="14" fillId="2" borderId="25" xfId="0" applyNumberFormat="1" applyFont="1" applyFill="1" applyBorder="1" applyAlignment="1" applyProtection="1">
      <alignment horizontal="center" vertical="center"/>
      <protection hidden="1"/>
    </xf>
    <xf numFmtId="0" fontId="36" fillId="0" borderId="29" xfId="0" quotePrefix="1" applyFont="1" applyBorder="1" applyAlignment="1" applyProtection="1">
      <alignment vertical="top" wrapText="1"/>
    </xf>
    <xf numFmtId="0" fontId="0" fillId="0" borderId="17" xfId="0" applyBorder="1" applyAlignment="1" applyProtection="1">
      <alignment horizontal="left"/>
    </xf>
    <xf numFmtId="0" fontId="0" fillId="0" borderId="17" xfId="0" applyFill="1" applyBorder="1" applyAlignment="1" applyProtection="1">
      <alignment horizontal="left"/>
    </xf>
    <xf numFmtId="0" fontId="0" fillId="0" borderId="22" xfId="0" applyBorder="1" applyAlignment="1" applyProtection="1">
      <alignment horizontal="left"/>
    </xf>
    <xf numFmtId="0" fontId="0" fillId="0" borderId="12" xfId="0" applyFill="1" applyBorder="1" applyAlignment="1" applyProtection="1">
      <alignment horizontal="left"/>
    </xf>
    <xf numFmtId="0" fontId="8" fillId="0" borderId="27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27" fillId="0" borderId="28" xfId="0" applyFont="1" applyFill="1" applyBorder="1" applyAlignment="1" applyProtection="1">
      <alignment vertical="center" wrapText="1"/>
    </xf>
    <xf numFmtId="0" fontId="0" fillId="0" borderId="28" xfId="0" applyFill="1" applyBorder="1" applyAlignment="1" applyProtection="1">
      <alignment vertical="center"/>
    </xf>
    <xf numFmtId="0" fontId="36" fillId="0" borderId="13" xfId="0" quotePrefix="1" applyFont="1" applyBorder="1" applyAlignment="1" applyProtection="1">
      <alignment vertical="top" wrapText="1"/>
    </xf>
    <xf numFmtId="0" fontId="18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0" fillId="0" borderId="17" xfId="0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24" fillId="0" borderId="9" xfId="0" applyFont="1" applyBorder="1" applyAlignment="1" applyProtection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68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protection locked="0"/>
    </xf>
    <xf numFmtId="168" fontId="0" fillId="9" borderId="9" xfId="0" applyNumberFormat="1" applyFill="1" applyBorder="1" applyAlignment="1" applyProtection="1">
      <alignment horizontal="center" vertical="center"/>
      <protection hidden="1"/>
    </xf>
    <xf numFmtId="0" fontId="0" fillId="0" borderId="11" xfId="0" applyBorder="1" applyAlignment="1"/>
    <xf numFmtId="172" fontId="0" fillId="9" borderId="9" xfId="0" applyNumberFormat="1" applyFill="1" applyBorder="1" applyAlignment="1" applyProtection="1">
      <alignment horizontal="center" vertical="center"/>
      <protection hidden="1"/>
    </xf>
    <xf numFmtId="0" fontId="12" fillId="6" borderId="17" xfId="0" applyFont="1" applyFill="1" applyBorder="1" applyAlignment="1" applyProtection="1">
      <alignment horizontal="left" vertical="center"/>
      <protection locked="0"/>
    </xf>
    <xf numFmtId="0" fontId="12" fillId="6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wrapText="1"/>
    </xf>
    <xf numFmtId="0" fontId="0" fillId="9" borderId="26" xfId="0" applyFill="1" applyBorder="1" applyAlignment="1" applyProtection="1">
      <alignment horizontal="center" vertical="center"/>
    </xf>
    <xf numFmtId="0" fontId="0" fillId="9" borderId="8" xfId="0" applyFill="1" applyBorder="1" applyAlignment="1" applyProtection="1">
      <alignment horizontal="center" vertical="center"/>
    </xf>
    <xf numFmtId="0" fontId="0" fillId="9" borderId="39" xfId="0" applyFill="1" applyBorder="1" applyAlignment="1" applyProtection="1">
      <alignment horizontal="center" vertical="center"/>
    </xf>
    <xf numFmtId="0" fontId="0" fillId="9" borderId="16" xfId="0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48" xfId="0" applyFont="1" applyFill="1" applyBorder="1" applyAlignment="1" applyProtection="1">
      <alignment horizontal="center" vertical="center" wrapText="1"/>
    </xf>
    <xf numFmtId="0" fontId="0" fillId="9" borderId="31" xfId="0" applyFill="1" applyBorder="1" applyAlignment="1" applyProtection="1">
      <alignment horizontal="center" vertical="center"/>
    </xf>
    <xf numFmtId="0" fontId="0" fillId="9" borderId="6" xfId="0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36" fillId="0" borderId="27" xfId="0" quotePrefix="1" applyFont="1" applyBorder="1" applyAlignment="1" applyProtection="1">
      <alignment horizontal="center" vertical="top" wrapText="1"/>
    </xf>
    <xf numFmtId="0" fontId="36" fillId="0" borderId="13" xfId="0" quotePrefix="1" applyFont="1" applyBorder="1" applyAlignment="1" applyProtection="1">
      <alignment horizontal="center" vertical="top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right" vertical="center"/>
    </xf>
    <xf numFmtId="0" fontId="2" fillId="3" borderId="13" xfId="0" applyFont="1" applyFill="1" applyBorder="1" applyAlignment="1" applyProtection="1">
      <alignment horizontal="right" vertical="center"/>
    </xf>
    <xf numFmtId="0" fontId="2" fillId="3" borderId="9" xfId="0" applyFont="1" applyFill="1" applyBorder="1" applyAlignment="1" applyProtection="1">
      <alignment horizontal="right"/>
    </xf>
    <xf numFmtId="0" fontId="2" fillId="3" borderId="10" xfId="0" applyFont="1" applyFill="1" applyBorder="1" applyAlignment="1" applyProtection="1">
      <alignment horizontal="right"/>
    </xf>
    <xf numFmtId="0" fontId="1" fillId="2" borderId="18" xfId="0" applyFont="1" applyFill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168" fontId="0" fillId="0" borderId="11" xfId="0" applyNumberForma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</xf>
    <xf numFmtId="168" fontId="0" fillId="9" borderId="35" xfId="0" applyNumberFormat="1" applyFill="1" applyBorder="1" applyAlignment="1" applyProtection="1">
      <alignment horizontal="center" vertical="center"/>
      <protection hidden="1"/>
    </xf>
    <xf numFmtId="168" fontId="0" fillId="9" borderId="36" xfId="0" applyNumberFormat="1" applyFill="1" applyBorder="1" applyAlignment="1" applyProtection="1">
      <alignment horizontal="center" vertical="center"/>
      <protection hidden="1"/>
    </xf>
    <xf numFmtId="172" fontId="0" fillId="9" borderId="33" xfId="0" applyNumberFormat="1" applyFill="1" applyBorder="1" applyAlignment="1" applyProtection="1">
      <alignment horizontal="center" vertical="center"/>
      <protection hidden="1"/>
    </xf>
    <xf numFmtId="172" fontId="0" fillId="9" borderId="34" xfId="0" applyNumberFormat="1" applyFill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center" vertical="center" wrapText="1"/>
    </xf>
    <xf numFmtId="0" fontId="36" fillId="0" borderId="10" xfId="0" quotePrefix="1" applyFont="1" applyBorder="1" applyAlignment="1" applyProtection="1">
      <alignment horizontal="center" vertical="center" wrapText="1"/>
    </xf>
    <xf numFmtId="0" fontId="24" fillId="0" borderId="42" xfId="0" applyFont="1" applyBorder="1" applyAlignment="1" applyProtection="1">
      <alignment horizontal="center" vertical="center" wrapText="1"/>
    </xf>
    <xf numFmtId="0" fontId="24" fillId="0" borderId="41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43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44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4" fillId="0" borderId="47" xfId="0" applyFont="1" applyBorder="1" applyAlignment="1" applyProtection="1">
      <alignment horizontal="center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3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28" xfId="0" applyFont="1" applyBorder="1" applyAlignment="1" applyProtection="1">
      <alignment horizontal="center" vertical="center" wrapText="1"/>
    </xf>
    <xf numFmtId="0" fontId="24" fillId="0" borderId="12" xfId="0" applyFont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12" fillId="6" borderId="17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32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colors>
    <mruColors>
      <color rgb="FFEEECE1"/>
      <color rgb="FF538DD5"/>
      <color rgb="FFC4D79B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CURVA DE GASTO (sección circular)</a:t>
            </a:r>
          </a:p>
        </c:rich>
      </c:tx>
      <c:layout>
        <c:manualLayout>
          <c:xMode val="edge"/>
          <c:yMode val="edge"/>
          <c:x val="0.28276935743856763"/>
          <c:y val="3.6842105263157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65707600985052"/>
          <c:y val="0.21579030552389569"/>
          <c:w val="0.66126775730724274"/>
          <c:h val="0.56842324381904219"/>
        </c:manualLayout>
      </c:layout>
      <c:lineChart>
        <c:grouping val="standard"/>
        <c:varyColors val="0"/>
        <c:ser>
          <c:idx val="6"/>
          <c:order val="0"/>
          <c:tx>
            <c:strRef>
              <c:f>'CALCULO REBOSE'!$H$10</c:f>
              <c:strCache>
                <c:ptCount val="1"/>
                <c:pt idx="0">
                  <c:v>V (m/s)</c:v>
                </c:pt>
              </c:strCache>
            </c:strRef>
          </c:tx>
          <c:marker>
            <c:symbol val="square"/>
            <c:size val="5"/>
            <c:spPr>
              <a:ln cap="rnd">
                <a:solidFill>
                  <a:schemeClr val="tx1"/>
                </a:solidFill>
              </a:ln>
            </c:spPr>
          </c:marker>
          <c:cat>
            <c:numRef>
              <c:f>'CALCULO REBOSE'!$B$11:$B$31</c:f>
              <c:numCache>
                <c:formatCode>General</c:formatCode>
                <c:ptCount val="2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220.00000000000003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</c:numCache>
            </c:numRef>
          </c:cat>
          <c:val>
            <c:numRef>
              <c:f>'CALCULO REBOSE'!$H$11:$H$31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0.86967583589528252</c:v>
                </c:pt>
                <c:pt idx="2">
                  <c:v>1.3580635409687742</c:v>
                </c:pt>
                <c:pt idx="3">
                  <c:v>1.7495232172294353</c:v>
                </c:pt>
                <c:pt idx="4">
                  <c:v>2.0822041692656947</c:v>
                </c:pt>
                <c:pt idx="5">
                  <c:v>2.3720261678498678</c:v>
                </c:pt>
                <c:pt idx="6">
                  <c:v>2.6275032068189352</c:v>
                </c:pt>
                <c:pt idx="7">
                  <c:v>2.8537808681291725</c:v>
                </c:pt>
                <c:pt idx="8">
                  <c:v>3.0541785544459721</c:v>
                </c:pt>
                <c:pt idx="9">
                  <c:v>3.2308952620637283</c:v>
                </c:pt>
                <c:pt idx="10">
                  <c:v>3.3853675087668518</c:v>
                </c:pt>
                <c:pt idx="11">
                  <c:v>3.5184573428796218</c:v>
                </c:pt>
                <c:pt idx="12">
                  <c:v>3.6305427741395748</c:v>
                </c:pt>
                <c:pt idx="13">
                  <c:v>3.7215384185015767</c:v>
                </c:pt>
                <c:pt idx="14">
                  <c:v>3.7908479542625066</c:v>
                </c:pt>
                <c:pt idx="15">
                  <c:v>3.8372223093634537</c:v>
                </c:pt>
                <c:pt idx="16">
                  <c:v>3.8584440656706147</c:v>
                </c:pt>
                <c:pt idx="17">
                  <c:v>3.8506085530016727</c:v>
                </c:pt>
                <c:pt idx="18">
                  <c:v>3.8062059557816896</c:v>
                </c:pt>
                <c:pt idx="19">
                  <c:v>3.7069202350239983</c:v>
                </c:pt>
                <c:pt idx="20">
                  <c:v>3.3853675087668518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8-4536-9731-BD687703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74432"/>
        <c:axId val="210423816"/>
      </c:lineChart>
      <c:lineChart>
        <c:grouping val="standard"/>
        <c:varyColors val="0"/>
        <c:ser>
          <c:idx val="7"/>
          <c:order val="1"/>
          <c:tx>
            <c:strRef>
              <c:f>'CALCULO REBOSE'!$I$10</c:f>
              <c:strCache>
                <c:ptCount val="1"/>
                <c:pt idx="0">
                  <c:v>Q (m3/s)</c:v>
                </c:pt>
              </c:strCache>
            </c:strRef>
          </c:tx>
          <c:marker>
            <c:symbol val="circle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'CALCULO REBOSE'!$B$11:$B$31</c:f>
              <c:numCache>
                <c:formatCode>General</c:formatCode>
                <c:ptCount val="21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220.00000000000003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  <c:pt idx="16">
                  <c:v>320</c:v>
                </c:pt>
                <c:pt idx="17">
                  <c:v>340</c:v>
                </c:pt>
                <c:pt idx="18">
                  <c:v>360</c:v>
                </c:pt>
                <c:pt idx="19">
                  <c:v>380</c:v>
                </c:pt>
                <c:pt idx="20">
                  <c:v>400</c:v>
                </c:pt>
              </c:numCache>
            </c:numRef>
          </c:cat>
          <c:val>
            <c:numRef>
              <c:f>'CALCULO REBOSE'!$I$11:$I$31</c:f>
              <c:numCache>
                <c:formatCode>0.00</c:formatCode>
                <c:ptCount val="21"/>
                <c:pt idx="0" formatCode="General">
                  <c:v>0</c:v>
                </c:pt>
                <c:pt idx="1">
                  <c:v>2.0429000860994746E-3</c:v>
                </c:pt>
                <c:pt idx="2">
                  <c:v>8.8817957904051385E-3</c:v>
                </c:pt>
                <c:pt idx="3">
                  <c:v>2.0679283262801176E-2</c:v>
                </c:pt>
                <c:pt idx="4">
                  <c:v>3.7254398712622594E-2</c:v>
                </c:pt>
                <c:pt idx="5">
                  <c:v>5.8274501377876528E-2</c:v>
                </c:pt>
                <c:pt idx="6">
                  <c:v>8.3310078659667899E-2</c:v>
                </c:pt>
                <c:pt idx="7">
                  <c:v>0.1118592962295033</c:v>
                </c:pt>
                <c:pt idx="8">
                  <c:v>0.14336060351657279</c:v>
                </c:pt>
                <c:pt idx="9">
                  <c:v>0.1771991177531457</c:v>
                </c:pt>
                <c:pt idx="10">
                  <c:v>0.21270891390487043</c:v>
                </c:pt>
                <c:pt idx="11">
                  <c:v>0.24917187016396497</c:v>
                </c:pt>
                <c:pt idx="12">
                  <c:v>0.2858127992444216</c:v>
                </c:pt>
                <c:pt idx="13">
                  <c:v>0.32178962846632958</c:v>
                </c:pt>
                <c:pt idx="14">
                  <c:v>0.35617582607724413</c:v>
                </c:pt>
                <c:pt idx="15">
                  <c:v>0.38792902445853183</c:v>
                </c:pt>
                <c:pt idx="16">
                  <c:v>0.41583183805987084</c:v>
                </c:pt>
                <c:pt idx="17">
                  <c:v>0.43836772722148953</c:v>
                </c:pt>
                <c:pt idx="18">
                  <c:v>0.45340919098670263</c:v>
                </c:pt>
                <c:pt idx="19">
                  <c:v>0.45711764501080104</c:v>
                </c:pt>
                <c:pt idx="20">
                  <c:v>0.42541782780974086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8-4536-9731-BD687703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04536"/>
        <c:axId val="210404152"/>
      </c:lineChart>
      <c:catAx>
        <c:axId val="21037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calado (mm)</a:t>
                </a:r>
              </a:p>
            </c:rich>
          </c:tx>
          <c:layout>
            <c:manualLayout>
              <c:xMode val="edge"/>
              <c:yMode val="edge"/>
              <c:x val="0.42857220167066751"/>
              <c:y val="0.8789508219367315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ES"/>
          </a:p>
        </c:txPr>
        <c:crossAx val="210423816"/>
        <c:crosses val="autoZero"/>
        <c:auto val="0"/>
        <c:lblAlgn val="ctr"/>
        <c:lblOffset val="100"/>
        <c:tickLblSkip val="2"/>
        <c:noMultiLvlLbl val="0"/>
      </c:catAx>
      <c:valAx>
        <c:axId val="210423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ES"/>
                  <a:t>velocidad/caudal</a:t>
                </a:r>
              </a:p>
            </c:rich>
          </c:tx>
          <c:layout>
            <c:manualLayout>
              <c:xMode val="edge"/>
              <c:yMode val="edge"/>
              <c:x val="3.5346097201767311E-2"/>
              <c:y val="0.378948749827324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ES"/>
          </a:p>
        </c:txPr>
        <c:crossAx val="210374432"/>
        <c:crosses val="autoZero"/>
        <c:crossBetween val="midCat"/>
      </c:valAx>
      <c:valAx>
        <c:axId val="2104041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0404536"/>
        <c:crosses val="max"/>
        <c:crossBetween val="between"/>
      </c:valAx>
      <c:catAx>
        <c:axId val="210404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40415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46224677716386"/>
          <c:y val="0.41803819981239426"/>
          <c:w val="0.14866335103693137"/>
          <c:h val="0.10187378751569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104706</xdr:colOff>
      <xdr:row>29</xdr:row>
      <xdr:rowOff>175837</xdr:rowOff>
    </xdr:from>
    <xdr:to>
      <xdr:col>5</xdr:col>
      <xdr:colOff>410081</xdr:colOff>
      <xdr:row>43</xdr:row>
      <xdr:rowOff>33354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06" y="8502275"/>
          <a:ext cx="3567688" cy="3259436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18</xdr:col>
      <xdr:colOff>537881</xdr:colOff>
      <xdr:row>41</xdr:row>
      <xdr:rowOff>268942</xdr:rowOff>
    </xdr:from>
    <xdr:to>
      <xdr:col>22</xdr:col>
      <xdr:colOff>336176</xdr:colOff>
      <xdr:row>46</xdr:row>
      <xdr:rowOff>101648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5999" y="11486030"/>
          <a:ext cx="2969559" cy="919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151051</xdr:colOff>
      <xdr:row>15</xdr:row>
      <xdr:rowOff>114300</xdr:rowOff>
    </xdr:from>
    <xdr:to>
      <xdr:col>11</xdr:col>
      <xdr:colOff>223297</xdr:colOff>
      <xdr:row>29</xdr:row>
      <xdr:rowOff>30535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0201" y="5067300"/>
          <a:ext cx="3225021" cy="3164260"/>
        </a:xfrm>
        <a:prstGeom prst="rect">
          <a:avLst/>
        </a:prstGeom>
      </xdr:spPr>
    </xdr:pic>
    <xdr:clientData/>
  </xdr:twoCellAnchor>
  <xdr:twoCellAnchor editAs="oneCell">
    <xdr:from>
      <xdr:col>16</xdr:col>
      <xdr:colOff>280147</xdr:colOff>
      <xdr:row>21</xdr:row>
      <xdr:rowOff>100979</xdr:rowOff>
    </xdr:from>
    <xdr:to>
      <xdr:col>19</xdr:col>
      <xdr:colOff>851647</xdr:colOff>
      <xdr:row>26</xdr:row>
      <xdr:rowOff>12127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0" y="6690038"/>
          <a:ext cx="2969559" cy="919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225095</xdr:colOff>
      <xdr:row>20</xdr:row>
      <xdr:rowOff>78441</xdr:rowOff>
    </xdr:from>
    <xdr:to>
      <xdr:col>12</xdr:col>
      <xdr:colOff>52290</xdr:colOff>
      <xdr:row>28</xdr:row>
      <xdr:rowOff>73595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654" y="6477000"/>
          <a:ext cx="5071548" cy="1608801"/>
        </a:xfrm>
        <a:prstGeom prst="rect">
          <a:avLst/>
        </a:prstGeom>
      </xdr:spPr>
    </xdr:pic>
    <xdr:clientData/>
  </xdr:twoCellAnchor>
  <xdr:oneCellAnchor>
    <xdr:from>
      <xdr:col>25</xdr:col>
      <xdr:colOff>476250</xdr:colOff>
      <xdr:row>22</xdr:row>
      <xdr:rowOff>4762</xdr:rowOff>
    </xdr:from>
    <xdr:ext cx="1996316" cy="4042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B58622E1-D47E-BDF9-C6EE-5B1C2ED3A446}"/>
                </a:ext>
              </a:extLst>
            </xdr:cNvPr>
            <xdr:cNvSpPr txBox="1"/>
          </xdr:nvSpPr>
          <xdr:spPr>
            <a:xfrm>
              <a:off x="19345275" y="6815137"/>
              <a:ext cx="1996316" cy="4042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800" b="1" i="1"/>
                <a:t>t</a:t>
              </a:r>
              <a:r>
                <a:rPr lang="es-ES" sz="1800" b="1" i="1" baseline="-25000"/>
                <a:t>vaciado</a:t>
              </a:r>
              <a:r>
                <a:rPr lang="es-ES" sz="1800" b="1"/>
                <a:t> =</a:t>
              </a:r>
              <a:r>
                <a:rPr lang="es-ES" sz="1800" b="1" baseline="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𝒏</m:t>
                      </m:r>
                      <m:r>
                        <a:rPr lang="es-ES" sz="1800" b="1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∙ </m:t>
                      </m:r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𝒉</m:t>
                      </m:r>
                      <m:r>
                        <a:rPr lang="es-ES" sz="1800" b="1" i="0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 </m:t>
                      </m:r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𝒏</m:t>
                      </m:r>
                      <m:r>
                        <a:rPr lang="es-ES" sz="1800" b="1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𝟐</m:t>
                      </m:r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∙ </m:t>
                      </m:r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𝒉</m:t>
                      </m:r>
                      <m:r>
                        <a:rPr lang="es-ES" sz="1800" b="1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𝟐</m:t>
                      </m:r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num>
                    <m:den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𝒌</m:t>
                      </m:r>
                    </m:den>
                  </m:f>
                </m:oMath>
              </a14:m>
              <a:endParaRPr lang="es-ES" sz="1800" b="1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B58622E1-D47E-BDF9-C6EE-5B1C2ED3A446}"/>
                </a:ext>
              </a:extLst>
            </xdr:cNvPr>
            <xdr:cNvSpPr txBox="1"/>
          </xdr:nvSpPr>
          <xdr:spPr>
            <a:xfrm>
              <a:off x="19345275" y="6815137"/>
              <a:ext cx="1996316" cy="4042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800" b="1" i="1"/>
                <a:t>t</a:t>
              </a:r>
              <a:r>
                <a:rPr lang="es-ES" sz="1800" b="1" i="1" baseline="-25000"/>
                <a:t>vaciado</a:t>
              </a:r>
              <a:r>
                <a:rPr lang="es-ES" sz="1800" b="1"/>
                <a:t> =</a:t>
              </a:r>
              <a:r>
                <a:rPr lang="es-ES" sz="1800" b="1" baseline="0"/>
                <a:t> </a:t>
              </a:r>
              <a:r>
                <a:rPr lang="es-ES" sz="1800" b="1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(𝒏</a:t>
              </a:r>
              <a:r>
                <a:rPr lang="es-ES" sz="1800" b="1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𝟏</a:t>
              </a:r>
              <a:r>
                <a:rPr lang="es-ES" sz="1800" b="1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∙ 𝒉</a:t>
              </a:r>
              <a:r>
                <a:rPr lang="es-ES" sz="1800" b="1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𝟏</a:t>
              </a:r>
              <a:r>
                <a:rPr lang="es-ES" sz="1800" b="1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 𝒏</a:t>
              </a:r>
              <a:r>
                <a:rPr lang="es-ES" sz="1800" b="1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𝟐</a:t>
              </a:r>
              <a:r>
                <a:rPr lang="es-ES" sz="1800" b="1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∙ 𝒉</a:t>
              </a:r>
              <a:r>
                <a:rPr lang="es-ES" sz="1800" b="1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𝟐</a:t>
              </a:r>
              <a:r>
                <a:rPr lang="es-ES" sz="1800" b="1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)/𝒌</a:t>
              </a:r>
              <a:endParaRPr lang="es-ES" sz="1800" b="1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13</xdr:col>
      <xdr:colOff>0</xdr:colOff>
      <xdr:row>22</xdr:row>
      <xdr:rowOff>0</xdr:rowOff>
    </xdr:from>
    <xdr:ext cx="1263295" cy="4042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E727B4BD-29D3-447C-97CD-B0C78A36488A}"/>
                </a:ext>
              </a:extLst>
            </xdr:cNvPr>
            <xdr:cNvSpPr txBox="1"/>
          </xdr:nvSpPr>
          <xdr:spPr>
            <a:xfrm>
              <a:off x="9229725" y="6810375"/>
              <a:ext cx="1263295" cy="4042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800" b="1" i="1"/>
                <a:t>t</a:t>
              </a:r>
              <a:r>
                <a:rPr lang="es-ES" sz="1800" b="1" i="1" baseline="-25000"/>
                <a:t>vaciado</a:t>
              </a:r>
              <a:r>
                <a:rPr lang="es-ES" sz="1800" b="1"/>
                <a:t> =</a:t>
              </a:r>
              <a:r>
                <a:rPr lang="es-ES" sz="1800" b="1" baseline="0"/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𝒏</m:t>
                      </m:r>
                      <m:r>
                        <a:rPr lang="es-ES" sz="1800" b="1" i="1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∙ </m:t>
                      </m:r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𝒉</m:t>
                      </m:r>
                      <m:r>
                        <a:rPr lang="es-ES" sz="1800" b="1" i="0" baseline="-250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num>
                    <m:den>
                      <m:r>
                        <a:rPr lang="es-ES" sz="1800" b="1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𝒌</m:t>
                      </m:r>
                    </m:den>
                  </m:f>
                </m:oMath>
              </a14:m>
              <a:endParaRPr lang="es-ES" sz="1800" b="1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E727B4BD-29D3-447C-97CD-B0C78A36488A}"/>
                </a:ext>
              </a:extLst>
            </xdr:cNvPr>
            <xdr:cNvSpPr txBox="1"/>
          </xdr:nvSpPr>
          <xdr:spPr>
            <a:xfrm>
              <a:off x="9229725" y="6810375"/>
              <a:ext cx="1263295" cy="4042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800" b="1" i="1"/>
                <a:t>t</a:t>
              </a:r>
              <a:r>
                <a:rPr lang="es-ES" sz="1800" b="1" i="1" baseline="-25000"/>
                <a:t>vaciado</a:t>
              </a:r>
              <a:r>
                <a:rPr lang="es-ES" sz="1800" b="1"/>
                <a:t> =</a:t>
              </a:r>
              <a:r>
                <a:rPr lang="es-ES" sz="1800" b="1" baseline="0"/>
                <a:t> </a:t>
              </a:r>
              <a:r>
                <a:rPr lang="es-ES" sz="1800" b="1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(𝒏</a:t>
              </a:r>
              <a:r>
                <a:rPr lang="es-ES" sz="1800" b="1" i="0" baseline="-250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𝟏</a:t>
              </a:r>
              <a:r>
                <a:rPr lang="es-ES" sz="1800" b="1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∙ 𝒉</a:t>
              </a:r>
              <a:r>
                <a:rPr lang="es-ES" sz="1800" b="1" i="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𝟏</a:t>
              </a:r>
              <a:r>
                <a:rPr lang="es-ES" sz="1800" b="1" i="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)/𝒌</a:t>
              </a:r>
              <a:endParaRPr lang="es-ES" sz="1800" b="1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238126</xdr:colOff>
      <xdr:row>9</xdr:row>
      <xdr:rowOff>190500</xdr:rowOff>
    </xdr:from>
    <xdr:to>
      <xdr:col>15</xdr:col>
      <xdr:colOff>104775</xdr:colOff>
      <xdr:row>28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214992</xdr:colOff>
      <xdr:row>15</xdr:row>
      <xdr:rowOff>176893</xdr:rowOff>
    </xdr:from>
    <xdr:to>
      <xdr:col>10</xdr:col>
      <xdr:colOff>662040</xdr:colOff>
      <xdr:row>43</xdr:row>
      <xdr:rowOff>65988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2992" y="3429000"/>
          <a:ext cx="5019048" cy="5495238"/>
        </a:xfrm>
        <a:prstGeom prst="rect">
          <a:avLst/>
        </a:prstGeom>
      </xdr:spPr>
    </xdr:pic>
    <xdr:clientData/>
  </xdr:twoCellAnchor>
  <xdr:twoCellAnchor>
    <xdr:from>
      <xdr:col>11</xdr:col>
      <xdr:colOff>666750</xdr:colOff>
      <xdr:row>15</xdr:row>
      <xdr:rowOff>168088</xdr:rowOff>
    </xdr:from>
    <xdr:to>
      <xdr:col>11</xdr:col>
      <xdr:colOff>694765</xdr:colOff>
      <xdr:row>43</xdr:row>
      <xdr:rowOff>66675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H="1">
          <a:off x="9048750" y="3429000"/>
          <a:ext cx="28015" cy="5501528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lg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666750</xdr:colOff>
      <xdr:row>11</xdr:row>
      <xdr:rowOff>57150</xdr:rowOff>
    </xdr:from>
    <xdr:to>
      <xdr:col>10</xdr:col>
      <xdr:colOff>676275</xdr:colOff>
      <xdr:row>43</xdr:row>
      <xdr:rowOff>66675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8286750" y="247650"/>
          <a:ext cx="9525" cy="6105525"/>
        </a:xfrm>
        <a:prstGeom prst="line">
          <a:avLst/>
        </a:prstGeom>
        <a:ln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11</xdr:row>
      <xdr:rowOff>47625</xdr:rowOff>
    </xdr:from>
    <xdr:to>
      <xdr:col>4</xdr:col>
      <xdr:colOff>238125</xdr:colOff>
      <xdr:row>43</xdr:row>
      <xdr:rowOff>57150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3276600" y="238125"/>
          <a:ext cx="9525" cy="6105525"/>
        </a:xfrm>
        <a:prstGeom prst="line">
          <a:avLst/>
        </a:prstGeom>
        <a:ln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220266</xdr:colOff>
      <xdr:row>43</xdr:row>
      <xdr:rowOff>65484</xdr:rowOff>
    </xdr:from>
    <xdr:to>
      <xdr:col>10</xdr:col>
      <xdr:colOff>672703</xdr:colOff>
      <xdr:row>43</xdr:row>
      <xdr:rowOff>77391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3268266" y="6351984"/>
          <a:ext cx="5024437" cy="11907"/>
        </a:xfrm>
        <a:prstGeom prst="line">
          <a:avLst/>
        </a:prstGeom>
        <a:ln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663410</xdr:colOff>
      <xdr:row>11</xdr:row>
      <xdr:rowOff>65484</xdr:rowOff>
    </xdr:from>
    <xdr:to>
      <xdr:col>13</xdr:col>
      <xdr:colOff>44285</xdr:colOff>
      <xdr:row>11</xdr:row>
      <xdr:rowOff>65484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8283410" y="255984"/>
          <a:ext cx="904875" cy="0"/>
        </a:xfrm>
        <a:prstGeom prst="line">
          <a:avLst/>
        </a:prstGeom>
        <a:ln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222320</xdr:colOff>
      <xdr:row>15</xdr:row>
      <xdr:rowOff>176702</xdr:rowOff>
    </xdr:from>
    <xdr:to>
      <xdr:col>10</xdr:col>
      <xdr:colOff>674757</xdr:colOff>
      <xdr:row>15</xdr:row>
      <xdr:rowOff>188609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3270320" y="3437614"/>
          <a:ext cx="5024437" cy="11907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694765</xdr:colOff>
      <xdr:row>11</xdr:row>
      <xdr:rowOff>73301</xdr:rowOff>
    </xdr:from>
    <xdr:to>
      <xdr:col>11</xdr:col>
      <xdr:colOff>702365</xdr:colOff>
      <xdr:row>15</xdr:row>
      <xdr:rowOff>168088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 flipH="1">
          <a:off x="9076765" y="2516183"/>
          <a:ext cx="7600" cy="912817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lg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35719</xdr:colOff>
      <xdr:row>11</xdr:row>
      <xdr:rowOff>85725</xdr:rowOff>
    </xdr:from>
    <xdr:to>
      <xdr:col>13</xdr:col>
      <xdr:colOff>38100</xdr:colOff>
      <xdr:row>43</xdr:row>
      <xdr:rowOff>89297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 flipH="1">
          <a:off x="9179719" y="276225"/>
          <a:ext cx="2381" cy="6099572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lg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45</xdr:row>
      <xdr:rowOff>114300</xdr:rowOff>
    </xdr:from>
    <xdr:to>
      <xdr:col>10</xdr:col>
      <xdr:colOff>695325</xdr:colOff>
      <xdr:row>45</xdr:row>
      <xdr:rowOff>114300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3257550" y="6781800"/>
          <a:ext cx="5057775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lg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666750</xdr:colOff>
      <xdr:row>6</xdr:row>
      <xdr:rowOff>136071</xdr:rowOff>
    </xdr:from>
    <xdr:to>
      <xdr:col>13</xdr:col>
      <xdr:colOff>231321</xdr:colOff>
      <xdr:row>11</xdr:row>
      <xdr:rowOff>40823</xdr:rowOff>
    </xdr:to>
    <xdr:cxnSp macro="">
      <xdr:nvCxnSpPr>
        <xdr:cNvPr id="32" name="Conector recto de flecha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 flipV="1">
          <a:off x="8286750" y="1279071"/>
          <a:ext cx="1088571" cy="857252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lg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503464</xdr:colOff>
      <xdr:row>25</xdr:row>
      <xdr:rowOff>299357</xdr:rowOff>
    </xdr:from>
    <xdr:to>
      <xdr:col>6</xdr:col>
      <xdr:colOff>517071</xdr:colOff>
      <xdr:row>26</xdr:row>
      <xdr:rowOff>54428</xdr:rowOff>
    </xdr:to>
    <xdr:cxnSp macro="">
      <xdr:nvCxnSpPr>
        <xdr:cNvPr id="38" name="Conector recto de flecha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CxnSpPr/>
      </xdr:nvCxnSpPr>
      <xdr:spPr>
        <a:xfrm>
          <a:off x="2789464" y="5456464"/>
          <a:ext cx="2299607" cy="217714"/>
        </a:xfrm>
        <a:prstGeom prst="straightConnector1">
          <a:avLst/>
        </a:prstGeom>
        <a:ln>
          <a:prstDash val="solid"/>
          <a:headEnd w="lg" len="lg"/>
          <a:tailEnd type="stealth" w="lg" len="lg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108857</xdr:colOff>
      <xdr:row>11</xdr:row>
      <xdr:rowOff>54428</xdr:rowOff>
    </xdr:from>
    <xdr:to>
      <xdr:col>4</xdr:col>
      <xdr:colOff>251732</xdr:colOff>
      <xdr:row>11</xdr:row>
      <xdr:rowOff>54428</xdr:rowOff>
    </xdr:to>
    <xdr:cxnSp macro="">
      <xdr:nvCxnSpPr>
        <xdr:cNvPr id="43" name="Conector recto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CxnSpPr/>
      </xdr:nvCxnSpPr>
      <xdr:spPr>
        <a:xfrm>
          <a:off x="1632857" y="2490107"/>
          <a:ext cx="1666875" cy="0"/>
        </a:xfrm>
        <a:prstGeom prst="line">
          <a:avLst/>
        </a:prstGeom>
        <a:ln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666750</xdr:colOff>
      <xdr:row>15</xdr:row>
      <xdr:rowOff>168088</xdr:rowOff>
    </xdr:from>
    <xdr:to>
      <xdr:col>11</xdr:col>
      <xdr:colOff>694765</xdr:colOff>
      <xdr:row>43</xdr:row>
      <xdr:rowOff>66675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H="1">
          <a:off x="9048750" y="3425638"/>
          <a:ext cx="28015" cy="5499287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lg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666750</xdr:colOff>
      <xdr:row>11</xdr:row>
      <xdr:rowOff>81642</xdr:rowOff>
    </xdr:from>
    <xdr:to>
      <xdr:col>10</xdr:col>
      <xdr:colOff>666750</xdr:colOff>
      <xdr:row>43</xdr:row>
      <xdr:rowOff>66675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 flipV="1">
          <a:off x="8286750" y="2517321"/>
          <a:ext cx="0" cy="6407604"/>
        </a:xfrm>
        <a:prstGeom prst="line">
          <a:avLst/>
        </a:prstGeom>
        <a:ln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11</xdr:row>
      <xdr:rowOff>47625</xdr:rowOff>
    </xdr:from>
    <xdr:to>
      <xdr:col>4</xdr:col>
      <xdr:colOff>238125</xdr:colOff>
      <xdr:row>43</xdr:row>
      <xdr:rowOff>57150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3276600" y="2486025"/>
          <a:ext cx="9525" cy="6429375"/>
        </a:xfrm>
        <a:prstGeom prst="line">
          <a:avLst/>
        </a:prstGeom>
        <a:ln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220266</xdr:colOff>
      <xdr:row>43</xdr:row>
      <xdr:rowOff>65484</xdr:rowOff>
    </xdr:from>
    <xdr:to>
      <xdr:col>10</xdr:col>
      <xdr:colOff>672703</xdr:colOff>
      <xdr:row>43</xdr:row>
      <xdr:rowOff>77391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>
          <a:off x="3268266" y="8923734"/>
          <a:ext cx="5024437" cy="11907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653885</xdr:colOff>
      <xdr:row>11</xdr:row>
      <xdr:rowOff>94059</xdr:rowOff>
    </xdr:from>
    <xdr:to>
      <xdr:col>13</xdr:col>
      <xdr:colOff>34760</xdr:colOff>
      <xdr:row>11</xdr:row>
      <xdr:rowOff>94059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8273885" y="2532459"/>
          <a:ext cx="1666875" cy="0"/>
        </a:xfrm>
        <a:prstGeom prst="line">
          <a:avLst/>
        </a:prstGeom>
        <a:ln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228889</xdr:colOff>
      <xdr:row>16</xdr:row>
      <xdr:rowOff>12478</xdr:rowOff>
    </xdr:from>
    <xdr:to>
      <xdr:col>10</xdr:col>
      <xdr:colOff>681326</xdr:colOff>
      <xdr:row>16</xdr:row>
      <xdr:rowOff>24385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3276889" y="3461185"/>
          <a:ext cx="5024437" cy="11907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694765</xdr:colOff>
      <xdr:row>11</xdr:row>
      <xdr:rowOff>73301</xdr:rowOff>
    </xdr:from>
    <xdr:to>
      <xdr:col>11</xdr:col>
      <xdr:colOff>702365</xdr:colOff>
      <xdr:row>15</xdr:row>
      <xdr:rowOff>168088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H="1">
          <a:off x="9076765" y="2511701"/>
          <a:ext cx="7600" cy="913937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lg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35719</xdr:colOff>
      <xdr:row>11</xdr:row>
      <xdr:rowOff>85725</xdr:rowOff>
    </xdr:from>
    <xdr:to>
      <xdr:col>13</xdr:col>
      <xdr:colOff>38100</xdr:colOff>
      <xdr:row>43</xdr:row>
      <xdr:rowOff>89297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 flipH="1">
          <a:off x="9941719" y="2524125"/>
          <a:ext cx="2381" cy="6423422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lg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45</xdr:row>
      <xdr:rowOff>114300</xdr:rowOff>
    </xdr:from>
    <xdr:to>
      <xdr:col>10</xdr:col>
      <xdr:colOff>695325</xdr:colOff>
      <xdr:row>45</xdr:row>
      <xdr:rowOff>114300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3257550" y="9353550"/>
          <a:ext cx="5057775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lg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666750</xdr:colOff>
      <xdr:row>6</xdr:row>
      <xdr:rowOff>136071</xdr:rowOff>
    </xdr:from>
    <xdr:to>
      <xdr:col>13</xdr:col>
      <xdr:colOff>231321</xdr:colOff>
      <xdr:row>11</xdr:row>
      <xdr:rowOff>40823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 flipV="1">
          <a:off x="8286750" y="1279071"/>
          <a:ext cx="1850571" cy="1200152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lg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101530</xdr:colOff>
      <xdr:row>11</xdr:row>
      <xdr:rowOff>47101</xdr:rowOff>
    </xdr:from>
    <xdr:to>
      <xdr:col>4</xdr:col>
      <xdr:colOff>244405</xdr:colOff>
      <xdr:row>11</xdr:row>
      <xdr:rowOff>47101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1625530" y="2486966"/>
          <a:ext cx="1666875" cy="0"/>
        </a:xfrm>
        <a:prstGeom prst="line">
          <a:avLst/>
        </a:prstGeom>
        <a:ln/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231321</xdr:colOff>
      <xdr:row>16</xdr:row>
      <xdr:rowOff>13607</xdr:rowOff>
    </xdr:from>
    <xdr:to>
      <xdr:col>10</xdr:col>
      <xdr:colOff>666750</xdr:colOff>
      <xdr:row>43</xdr:row>
      <xdr:rowOff>95250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3279321" y="3456214"/>
          <a:ext cx="5007429" cy="5497286"/>
        </a:xfrm>
        <a:prstGeom prst="rect">
          <a:avLst/>
        </a:prstGeom>
        <a:pattFill prst="sphere">
          <a:fgClr>
            <a:schemeClr val="bg1">
              <a:lumMod val="65000"/>
            </a:schemeClr>
          </a:fgClr>
          <a:bgClr>
            <a:schemeClr val="bg1"/>
          </a:bgClr>
        </a:patt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3</xdr:col>
      <xdr:colOff>489857</xdr:colOff>
      <xdr:row>25</xdr:row>
      <xdr:rowOff>272142</xdr:rowOff>
    </xdr:from>
    <xdr:to>
      <xdr:col>6</xdr:col>
      <xdr:colOff>503464</xdr:colOff>
      <xdr:row>26</xdr:row>
      <xdr:rowOff>27213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2775857" y="5429249"/>
          <a:ext cx="2299607" cy="217714"/>
        </a:xfrm>
        <a:prstGeom prst="straightConnector1">
          <a:avLst/>
        </a:prstGeom>
        <a:ln>
          <a:prstDash val="solid"/>
          <a:headEnd w="lg" len="lg"/>
          <a:tailEnd type="stealth" w="lg" len="lg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500738</xdr:colOff>
      <xdr:row>7</xdr:row>
      <xdr:rowOff>244928</xdr:rowOff>
    </xdr:from>
    <xdr:to>
      <xdr:col>23</xdr:col>
      <xdr:colOff>408702</xdr:colOff>
      <xdr:row>30</xdr:row>
      <xdr:rowOff>159738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2738" y="1578428"/>
          <a:ext cx="5241964" cy="496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100"/>
  <sheetViews>
    <sheetView showGridLines="0" zoomScale="85" zoomScaleNormal="85" workbookViewId="0">
      <selection activeCell="M8" sqref="M8"/>
    </sheetView>
  </sheetViews>
  <sheetFormatPr baseColWidth="10" defaultColWidth="11.42578125" defaultRowHeight="15" x14ac:dyDescent="0.25"/>
  <cols>
    <col min="1" max="1" width="2" style="1" customWidth="1"/>
    <col min="2" max="4" width="11.42578125" style="1"/>
    <col min="5" max="5" width="12.5703125" style="1" customWidth="1"/>
    <col min="6" max="6" width="7.85546875" style="1" customWidth="1"/>
    <col min="7" max="7" width="13.28515625" style="1" customWidth="1"/>
    <col min="8" max="8" width="13.7109375" style="1" customWidth="1"/>
    <col min="9" max="9" width="13.140625" style="1" customWidth="1"/>
    <col min="10" max="10" width="6.7109375" style="1" bestFit="1" customWidth="1"/>
    <col min="11" max="11" width="10.7109375" style="1" bestFit="1" customWidth="1"/>
    <col min="12" max="12" width="9.5703125" style="1" customWidth="1"/>
    <col min="13" max="13" width="10.85546875" style="1" customWidth="1"/>
    <col min="14" max="14" width="10.85546875" style="1" bestFit="1" customWidth="1"/>
    <col min="15" max="15" width="11.5703125" style="1" customWidth="1"/>
    <col min="16" max="16" width="14.42578125" style="1" bestFit="1" customWidth="1"/>
    <col min="17" max="17" width="15" style="1" customWidth="1"/>
    <col min="18" max="20" width="10.7109375" style="1" customWidth="1"/>
    <col min="21" max="21" width="13.42578125" style="1" customWidth="1"/>
    <col min="22" max="22" width="12.5703125" style="1" bestFit="1" customWidth="1"/>
    <col min="23" max="23" width="17.7109375" style="1" customWidth="1"/>
    <col min="24" max="24" width="12.7109375" style="1" customWidth="1"/>
    <col min="25" max="25" width="11.42578125" style="1"/>
    <col min="26" max="26" width="8.28515625" style="1" customWidth="1"/>
    <col min="27" max="27" width="14" style="1" bestFit="1" customWidth="1"/>
    <col min="28" max="16384" width="11.42578125" style="1"/>
  </cols>
  <sheetData>
    <row r="1" spans="1:4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46" ht="28.5" customHeight="1" x14ac:dyDescent="0.25">
      <c r="A2" s="3"/>
      <c r="B2" s="221" t="s">
        <v>96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6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6" ht="33" customHeight="1" thickBot="1" x14ac:dyDescent="0.3">
      <c r="A4" s="3"/>
      <c r="B4" s="246" t="s">
        <v>0</v>
      </c>
      <c r="C4" s="247"/>
      <c r="D4" s="247"/>
      <c r="E4" s="248"/>
      <c r="F4" s="92"/>
      <c r="G4" s="253" t="s">
        <v>121</v>
      </c>
      <c r="H4" s="254"/>
      <c r="I4" s="255"/>
      <c r="J4" s="92"/>
      <c r="K4" s="207" t="s">
        <v>45</v>
      </c>
      <c r="L4" s="208"/>
      <c r="M4" s="208"/>
      <c r="N4" s="208"/>
      <c r="O4" s="208"/>
      <c r="P4" s="208"/>
      <c r="Q4" s="208"/>
      <c r="R4" s="209"/>
      <c r="T4" s="207" t="s">
        <v>120</v>
      </c>
      <c r="U4" s="208"/>
      <c r="V4" s="208"/>
      <c r="W4" s="208"/>
      <c r="X4" s="208"/>
      <c r="Y4" s="20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6" ht="15.75" customHeight="1" thickBot="1" x14ac:dyDescent="0.3">
      <c r="A5" s="3"/>
      <c r="B5" s="3"/>
      <c r="C5" s="3"/>
      <c r="D5" s="3"/>
      <c r="E5" s="3"/>
      <c r="F5" s="3"/>
      <c r="G5" s="3"/>
      <c r="H5" s="9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6" ht="59.25" customHeight="1" thickBot="1" x14ac:dyDescent="0.3">
      <c r="A6" s="3"/>
      <c r="B6" s="5" t="s">
        <v>53</v>
      </c>
      <c r="C6" s="5" t="s">
        <v>2</v>
      </c>
      <c r="D6" s="5" t="s">
        <v>1</v>
      </c>
      <c r="E6" s="111" t="s">
        <v>78</v>
      </c>
      <c r="F6" s="3"/>
      <c r="G6" s="5" t="s">
        <v>56</v>
      </c>
      <c r="H6" s="35" t="s">
        <v>115</v>
      </c>
      <c r="I6" s="5" t="s">
        <v>55</v>
      </c>
      <c r="J6" s="3"/>
      <c r="K6" s="4" t="s">
        <v>4</v>
      </c>
      <c r="L6" s="4" t="s">
        <v>5</v>
      </c>
      <c r="M6" s="4" t="s">
        <v>6</v>
      </c>
      <c r="N6" s="4" t="s">
        <v>7</v>
      </c>
      <c r="O6" s="4" t="s">
        <v>134</v>
      </c>
      <c r="P6" s="5" t="s">
        <v>8</v>
      </c>
      <c r="Q6" s="5" t="s">
        <v>54</v>
      </c>
      <c r="R6" s="4" t="s">
        <v>9</v>
      </c>
      <c r="S6" s="3"/>
      <c r="T6" s="210" t="s">
        <v>98</v>
      </c>
      <c r="U6" s="211"/>
      <c r="V6" s="211"/>
      <c r="W6" s="212"/>
      <c r="X6" s="216"/>
      <c r="Y6" s="217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24.95" customHeight="1" thickBot="1" x14ac:dyDescent="0.3">
      <c r="A7" s="3"/>
      <c r="B7" s="113"/>
      <c r="C7" s="137"/>
      <c r="D7" s="143" t="str">
        <f>IFERROR(VLOOKUP(C7,Hoja3!J2:K7,2,0),"")</f>
        <v/>
      </c>
      <c r="E7" s="144" t="str">
        <f>IFERROR((D7*B7),"")</f>
        <v/>
      </c>
      <c r="F7" s="3"/>
      <c r="G7" s="40">
        <f>E17</f>
        <v>0</v>
      </c>
      <c r="H7" s="31">
        <f>VLOOKUP(H6,Hoja3!D1:E6,2)</f>
        <v>23</v>
      </c>
      <c r="I7" s="39">
        <f>PRODUCT(G7,H7/1000)</f>
        <v>0</v>
      </c>
      <c r="J7" s="164" t="e">
        <f>I7/P7</f>
        <v>#DIV/0!</v>
      </c>
      <c r="K7" s="178" t="str">
        <f>IFERROR(ROUNDUP(J7,0),"")</f>
        <v/>
      </c>
      <c r="L7" s="176"/>
      <c r="M7" s="43"/>
      <c r="N7" s="153"/>
      <c r="O7" s="175"/>
      <c r="P7" s="185">
        <f>L7*M7*N7*O7</f>
        <v>0</v>
      </c>
      <c r="Q7" s="183">
        <f>PRODUCT(K7,P7)</f>
        <v>0</v>
      </c>
      <c r="R7" s="33"/>
      <c r="S7" s="3"/>
      <c r="T7" s="256" t="s">
        <v>119</v>
      </c>
      <c r="U7" s="257"/>
      <c r="V7" s="257"/>
      <c r="W7" s="258"/>
      <c r="X7" s="218">
        <f>X6/W9</f>
        <v>0</v>
      </c>
      <c r="Y7" s="219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24.95" customHeight="1" thickBot="1" x14ac:dyDescent="0.3">
      <c r="A8" s="3"/>
      <c r="B8" s="114"/>
      <c r="C8" s="134"/>
      <c r="D8" s="145" t="str">
        <f>IFERROR(VLOOKUP(C8,Hoja3!J2:K7,2,0),"")</f>
        <v/>
      </c>
      <c r="E8" s="146" t="str">
        <f t="shared" ref="E8:E16" si="0">IFERROR((D8*B8),"")</f>
        <v/>
      </c>
      <c r="F8" s="3"/>
      <c r="G8" s="3"/>
      <c r="H8" s="3"/>
      <c r="I8" s="3"/>
      <c r="J8" s="164" t="e">
        <f>I7/P8</f>
        <v>#DIV/0!</v>
      </c>
      <c r="K8" s="178" t="str">
        <f t="shared" ref="K8:K10" si="1">IFERROR(ROUNDUP(J8,0),"")</f>
        <v/>
      </c>
      <c r="L8" s="177"/>
      <c r="M8" s="44"/>
      <c r="N8" s="154"/>
      <c r="O8" s="175"/>
      <c r="P8" s="185">
        <f>L8*M8*N8*O8</f>
        <v>0</v>
      </c>
      <c r="Q8" s="183">
        <f>PRODUCT(K8,P8)</f>
        <v>0</v>
      </c>
      <c r="R8" s="33"/>
      <c r="S8" s="3"/>
      <c r="T8" s="259"/>
      <c r="U8" s="260"/>
      <c r="V8" s="260"/>
      <c r="W8" s="261"/>
      <c r="X8" s="220">
        <f>PRODUCT(X7,3600)</f>
        <v>0</v>
      </c>
      <c r="Y8" s="219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24.95" customHeight="1" thickBot="1" x14ac:dyDescent="0.3">
      <c r="A9" s="3"/>
      <c r="B9" s="114"/>
      <c r="C9" s="134"/>
      <c r="D9" s="145" t="str">
        <f>IFERROR(VLOOKUP(C9,Hoja3!J2:K7,2,0),"")</f>
        <v/>
      </c>
      <c r="E9" s="146" t="str">
        <f t="shared" si="0"/>
        <v/>
      </c>
      <c r="F9" s="3"/>
      <c r="G9" s="3"/>
      <c r="H9" s="3"/>
      <c r="I9" s="3"/>
      <c r="J9" s="164" t="e">
        <f>I7/P9</f>
        <v>#DIV/0!</v>
      </c>
      <c r="K9" s="178" t="str">
        <f t="shared" si="1"/>
        <v/>
      </c>
      <c r="L9" s="177"/>
      <c r="M9" s="44"/>
      <c r="N9" s="154"/>
      <c r="O9" s="175"/>
      <c r="P9" s="185">
        <f t="shared" ref="P9:P10" si="2">L9*M9*N9*O9</f>
        <v>0</v>
      </c>
      <c r="Q9" s="183">
        <f>PRODUCT(K9,P9)</f>
        <v>0</v>
      </c>
      <c r="R9" s="34"/>
      <c r="S9" s="3"/>
      <c r="T9" s="3"/>
      <c r="U9" s="3"/>
      <c r="V9" s="90" t="s">
        <v>97</v>
      </c>
      <c r="W9" s="91">
        <v>1.5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24.95" customHeight="1" thickBot="1" x14ac:dyDescent="0.3">
      <c r="A10" s="3"/>
      <c r="B10" s="114"/>
      <c r="C10" s="134"/>
      <c r="D10" s="145" t="str">
        <f>IFERROR(VLOOKUP(C10,Hoja3!J2:K7,2,0),"")</f>
        <v/>
      </c>
      <c r="E10" s="146" t="str">
        <f t="shared" si="0"/>
        <v/>
      </c>
      <c r="F10" s="3"/>
      <c r="G10" s="3"/>
      <c r="H10" s="3"/>
      <c r="I10" s="3"/>
      <c r="J10" s="164" t="e">
        <f>I7/P10</f>
        <v>#DIV/0!</v>
      </c>
      <c r="K10" s="178" t="str">
        <f t="shared" si="1"/>
        <v/>
      </c>
      <c r="L10" s="177"/>
      <c r="M10" s="44"/>
      <c r="N10" s="154"/>
      <c r="O10" s="175"/>
      <c r="P10" s="186">
        <f t="shared" si="2"/>
        <v>0</v>
      </c>
      <c r="Q10" s="184">
        <f>PRODUCT(K10,P10)</f>
        <v>0</v>
      </c>
      <c r="R10" s="3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24.95" customHeight="1" thickBot="1" x14ac:dyDescent="0.3">
      <c r="A11" s="3"/>
      <c r="B11" s="114"/>
      <c r="C11" s="134"/>
      <c r="D11" s="145" t="str">
        <f>IFERROR(VLOOKUP(C11,Hoja3!J2:K7,2,0),"")</f>
        <v/>
      </c>
      <c r="E11" s="146" t="str">
        <f t="shared" si="0"/>
        <v/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6" ht="24.95" customHeight="1" thickBot="1" x14ac:dyDescent="0.3">
      <c r="A12" s="3"/>
      <c r="B12" s="114"/>
      <c r="C12" s="134"/>
      <c r="D12" s="145" t="str">
        <f>IFERROR(VLOOKUP(C12,Hoja3!J2:K7,2,0),"")</f>
        <v/>
      </c>
      <c r="E12" s="146" t="str">
        <f t="shared" si="0"/>
        <v/>
      </c>
      <c r="F12" s="3"/>
      <c r="G12" s="3"/>
      <c r="H12" s="3"/>
      <c r="I12" s="3"/>
      <c r="J12" s="3"/>
      <c r="K12" s="213" t="s">
        <v>130</v>
      </c>
      <c r="L12" s="214"/>
      <c r="M12" s="214"/>
      <c r="N12" s="214"/>
      <c r="O12" s="214"/>
      <c r="P12" s="214"/>
      <c r="Q12" s="214"/>
      <c r="R12" s="215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6" ht="24.95" customHeight="1" x14ac:dyDescent="0.25">
      <c r="A13" s="3"/>
      <c r="B13" s="114"/>
      <c r="C13" s="134"/>
      <c r="D13" s="145" t="str">
        <f>IFERROR(VLOOKUP(C13,Hoja3!J2:K7,2,0),"")</f>
        <v/>
      </c>
      <c r="E13" s="146" t="str">
        <f t="shared" si="0"/>
        <v/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6" ht="24.95" customHeight="1" x14ac:dyDescent="0.25">
      <c r="A14" s="3"/>
      <c r="B14" s="114"/>
      <c r="C14" s="134"/>
      <c r="D14" s="145" t="str">
        <f>IFERROR(VLOOKUP(C14,Hoja3!J2:K7,2,0),"")</f>
        <v/>
      </c>
      <c r="E14" s="146" t="str">
        <f t="shared" si="0"/>
        <v/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6" ht="24.95" customHeight="1" x14ac:dyDescent="0.25">
      <c r="A15" s="3"/>
      <c r="B15" s="114"/>
      <c r="C15" s="134"/>
      <c r="D15" s="145" t="str">
        <f>IFERROR(VLOOKUP(C15,Hoja3!J2:K7,2,0),"")</f>
        <v/>
      </c>
      <c r="E15" s="146" t="str">
        <f t="shared" si="0"/>
        <v/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6" ht="24.95" customHeight="1" thickBot="1" x14ac:dyDescent="0.3">
      <c r="A16" s="3"/>
      <c r="B16" s="115"/>
      <c r="C16" s="140"/>
      <c r="D16" s="147" t="str">
        <f>IFERROR(VLOOKUP(C16,Hoja3!J2:K7,2,0),"")</f>
        <v/>
      </c>
      <c r="E16" s="142" t="str">
        <f t="shared" si="0"/>
        <v/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6" ht="24.95" customHeight="1" thickBot="1" x14ac:dyDescent="0.3">
      <c r="A17" s="3"/>
      <c r="B17" s="249" t="s">
        <v>3</v>
      </c>
      <c r="C17" s="250"/>
      <c r="D17" s="250"/>
      <c r="E17" s="112">
        <f>SUM(E7:E16)</f>
        <v>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6" ht="15.75" thickBot="1" x14ac:dyDescent="0.3">
      <c r="A18" s="3"/>
      <c r="B18" s="3"/>
      <c r="C18" s="3"/>
      <c r="D18" s="3"/>
      <c r="E18" s="41"/>
      <c r="F18" s="3"/>
      <c r="G18" s="3"/>
      <c r="H18" s="3"/>
      <c r="I18" s="3"/>
      <c r="J18" s="3"/>
      <c r="K18" s="3"/>
      <c r="L18" s="3"/>
      <c r="M18" s="3"/>
      <c r="N18" s="3"/>
      <c r="O18" s="3"/>
      <c r="P18" s="120"/>
      <c r="Q18" s="3"/>
      <c r="R18" s="3"/>
      <c r="S18" s="3"/>
      <c r="T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6" ht="15.75" thickBot="1" x14ac:dyDescent="0.3">
      <c r="A19" s="3"/>
      <c r="B19" s="251" t="s">
        <v>11</v>
      </c>
      <c r="C19" s="252"/>
      <c r="D19" s="252"/>
      <c r="E19" s="42">
        <f>SUM(B7:B16)</f>
        <v>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6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6" ht="15.75" thickBo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6" ht="18.75" customHeight="1" thickBot="1" x14ac:dyDescent="0.3">
      <c r="A23" s="3"/>
      <c r="B23" s="246" t="s">
        <v>95</v>
      </c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6" ht="15" customHeight="1" thickBo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6" ht="41.25" customHeight="1" thickBot="1" x14ac:dyDescent="0.3">
      <c r="A25" s="3"/>
      <c r="B25" s="6" t="s">
        <v>60</v>
      </c>
      <c r="C25" s="7" t="s">
        <v>30</v>
      </c>
      <c r="D25" s="5" t="s">
        <v>57</v>
      </c>
      <c r="E25" s="8" t="s">
        <v>59</v>
      </c>
      <c r="F25" s="5" t="s">
        <v>58</v>
      </c>
      <c r="G25" s="5" t="s">
        <v>61</v>
      </c>
      <c r="H25" s="5" t="s">
        <v>62</v>
      </c>
      <c r="I25" s="5" t="s">
        <v>63</v>
      </c>
      <c r="J25" s="7" t="s">
        <v>29</v>
      </c>
      <c r="K25" s="5" t="s">
        <v>64</v>
      </c>
      <c r="L25" s="5" t="s">
        <v>65</v>
      </c>
      <c r="M25" s="5" t="s">
        <v>66</v>
      </c>
      <c r="N25" s="5" t="s">
        <v>67</v>
      </c>
      <c r="O25" s="7" t="s">
        <v>28</v>
      </c>
      <c r="P25" s="5" t="s">
        <v>123</v>
      </c>
      <c r="Q25" s="5" t="s">
        <v>124</v>
      </c>
      <c r="R25" s="5" t="s">
        <v>68</v>
      </c>
      <c r="S25" s="5" t="s">
        <v>69</v>
      </c>
      <c r="T25" s="48" t="s">
        <v>102</v>
      </c>
      <c r="U25" s="4" t="s">
        <v>71</v>
      </c>
      <c r="V25" s="7" t="s">
        <v>70</v>
      </c>
      <c r="W25" s="56" t="s">
        <v>14</v>
      </c>
      <c r="X25" s="4" t="s">
        <v>72</v>
      </c>
      <c r="Y25" s="4" t="s">
        <v>9</v>
      </c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15" customHeight="1" thickBot="1" x14ac:dyDescent="0.3">
      <c r="A26" s="3"/>
      <c r="B26" s="36"/>
      <c r="C26" s="38"/>
      <c r="D26" s="51">
        <f>M7</f>
        <v>0</v>
      </c>
      <c r="E26" s="100">
        <f>PRODUCT(C26,D26)</f>
        <v>0</v>
      </c>
      <c r="F26" s="180"/>
      <c r="G26" s="53">
        <f>SUM(B26,E26,F26)</f>
        <v>0</v>
      </c>
      <c r="H26" s="45"/>
      <c r="I26" s="46"/>
      <c r="J26" s="47"/>
      <c r="K26" s="182">
        <f>N7</f>
        <v>0</v>
      </c>
      <c r="L26" s="100">
        <f>K26*J26</f>
        <v>0</v>
      </c>
      <c r="M26" s="179"/>
      <c r="N26" s="51">
        <f>SUM(H26,I26,L26,M26)</f>
        <v>0</v>
      </c>
      <c r="O26" s="38"/>
      <c r="P26" s="51">
        <f>L7</f>
        <v>0</v>
      </c>
      <c r="Q26" s="100">
        <f>L7*O26</f>
        <v>0</v>
      </c>
      <c r="R26" s="181"/>
      <c r="S26" s="89"/>
      <c r="T26" s="51">
        <f>SUM(R26+Q26+S26)</f>
        <v>0</v>
      </c>
      <c r="U26" s="128">
        <f>PRODUCT(G26,N26,T26)</f>
        <v>0</v>
      </c>
      <c r="V26" s="49">
        <f>PRODUCT(C26,J26,O26)</f>
        <v>0</v>
      </c>
      <c r="W26" s="151">
        <f>O7</f>
        <v>0</v>
      </c>
      <c r="X26" s="52">
        <f>Q26*L26*E26*W26</f>
        <v>0</v>
      </c>
      <c r="Y26" s="37">
        <f>R7</f>
        <v>0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5" customHeight="1" thickBot="1" x14ac:dyDescent="0.3">
      <c r="A27" s="3"/>
      <c r="B27" s="36"/>
      <c r="C27" s="38"/>
      <c r="D27" s="51">
        <f>M8</f>
        <v>0</v>
      </c>
      <c r="E27" s="100">
        <f>PRODUCT(C27,D27)</f>
        <v>0</v>
      </c>
      <c r="F27" s="180"/>
      <c r="G27" s="53">
        <f>SUM(B27,E27,F27)</f>
        <v>0</v>
      </c>
      <c r="H27" s="45"/>
      <c r="I27" s="46"/>
      <c r="J27" s="47"/>
      <c r="K27" s="182">
        <f>N8</f>
        <v>0</v>
      </c>
      <c r="L27" s="100">
        <f>K27*J27</f>
        <v>0</v>
      </c>
      <c r="M27" s="179"/>
      <c r="N27" s="51">
        <f>SUM(H27,I27,L27,M27)</f>
        <v>0</v>
      </c>
      <c r="O27" s="38"/>
      <c r="P27" s="51">
        <f>L8</f>
        <v>0</v>
      </c>
      <c r="Q27" s="100">
        <f>L8*O27</f>
        <v>0</v>
      </c>
      <c r="R27" s="181"/>
      <c r="S27" s="89"/>
      <c r="T27" s="51">
        <f>SUM(R27+Q27+S27)</f>
        <v>0</v>
      </c>
      <c r="U27" s="128">
        <f>PRODUCT(G27,N27,T27)</f>
        <v>0</v>
      </c>
      <c r="V27" s="49">
        <f>PRODUCT(C27,J27,O27)</f>
        <v>0</v>
      </c>
      <c r="W27" s="151">
        <f>O8</f>
        <v>0</v>
      </c>
      <c r="X27" s="52">
        <f>Q27*L27*E27*W27</f>
        <v>0</v>
      </c>
      <c r="Y27" s="37">
        <f>R8</f>
        <v>0</v>
      </c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15.75" thickBot="1" x14ac:dyDescent="0.3">
      <c r="A28" s="3"/>
      <c r="B28" s="36"/>
      <c r="C28" s="38"/>
      <c r="D28" s="51">
        <f>M9</f>
        <v>0</v>
      </c>
      <c r="E28" s="100">
        <f>PRODUCT(C28,D28)</f>
        <v>0</v>
      </c>
      <c r="F28" s="180"/>
      <c r="G28" s="53">
        <f t="shared" ref="G28:G29" si="3">SUM(B28,E28,F28)</f>
        <v>0</v>
      </c>
      <c r="H28" s="45"/>
      <c r="I28" s="46"/>
      <c r="J28" s="47"/>
      <c r="K28" s="182">
        <f>N9</f>
        <v>0</v>
      </c>
      <c r="L28" s="100">
        <f t="shared" ref="L28:L29" si="4">K28*J28</f>
        <v>0</v>
      </c>
      <c r="M28" s="179"/>
      <c r="N28" s="51">
        <f t="shared" ref="N28:N29" si="5">SUM(H28,I28,L28,M28)</f>
        <v>0</v>
      </c>
      <c r="O28" s="38"/>
      <c r="P28" s="51">
        <f>L9</f>
        <v>0</v>
      </c>
      <c r="Q28" s="100">
        <f>L9*O28</f>
        <v>0</v>
      </c>
      <c r="R28" s="181"/>
      <c r="S28" s="89"/>
      <c r="T28" s="51">
        <f t="shared" ref="T28:T29" si="6">SUM(R28+Q28+S28)</f>
        <v>0</v>
      </c>
      <c r="U28" s="128">
        <f>PRODUCT(G28,N28,T28)</f>
        <v>0</v>
      </c>
      <c r="V28" s="49">
        <f>PRODUCT(C28,J28,O28)</f>
        <v>0</v>
      </c>
      <c r="W28" s="151">
        <f>O9</f>
        <v>0</v>
      </c>
      <c r="X28" s="52">
        <f>Q28*L28*E28*W28</f>
        <v>0</v>
      </c>
      <c r="Y28" s="37">
        <f>R9</f>
        <v>0</v>
      </c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5.75" thickBot="1" x14ac:dyDescent="0.3">
      <c r="A29" s="3"/>
      <c r="B29" s="36"/>
      <c r="C29" s="38"/>
      <c r="D29" s="51">
        <f>M10</f>
        <v>0</v>
      </c>
      <c r="E29" s="100">
        <f>PRODUCT(C29,D29)</f>
        <v>0</v>
      </c>
      <c r="F29" s="180"/>
      <c r="G29" s="53">
        <f t="shared" si="3"/>
        <v>0</v>
      </c>
      <c r="H29" s="45"/>
      <c r="I29" s="46"/>
      <c r="J29" s="47"/>
      <c r="K29" s="182">
        <f>N10</f>
        <v>0</v>
      </c>
      <c r="L29" s="100">
        <f t="shared" si="4"/>
        <v>0</v>
      </c>
      <c r="M29" s="179"/>
      <c r="N29" s="51">
        <f t="shared" si="5"/>
        <v>0</v>
      </c>
      <c r="O29" s="38"/>
      <c r="P29" s="51">
        <f>L10</f>
        <v>0</v>
      </c>
      <c r="Q29" s="100">
        <f>L10*O29</f>
        <v>0</v>
      </c>
      <c r="R29" s="181"/>
      <c r="S29" s="89"/>
      <c r="T29" s="51">
        <f t="shared" si="6"/>
        <v>0</v>
      </c>
      <c r="U29" s="128">
        <f>PRODUCT(G29,N29,T29)</f>
        <v>0</v>
      </c>
      <c r="V29" s="49">
        <f>PRODUCT(C29,J29,O29)</f>
        <v>0</v>
      </c>
      <c r="W29" s="152">
        <f>O10</f>
        <v>0</v>
      </c>
      <c r="X29" s="52">
        <f>Q29*L29*E29*W29</f>
        <v>0</v>
      </c>
      <c r="Y29" s="37">
        <f>R10</f>
        <v>0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6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6" ht="15" customHeight="1" thickBot="1" x14ac:dyDescent="0.3">
      <c r="B32" s="3"/>
      <c r="C32" s="3"/>
      <c r="D32" s="3"/>
      <c r="E32" s="3"/>
      <c r="F32" s="3"/>
      <c r="G32" s="3"/>
      <c r="H32" s="94"/>
      <c r="I32" s="94"/>
      <c r="J32" s="94"/>
      <c r="K32" s="94"/>
      <c r="L32" s="94"/>
      <c r="M32" s="94"/>
      <c r="N32" s="95"/>
      <c r="O32" s="95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2:45" ht="15" customHeight="1" thickBot="1" x14ac:dyDescent="0.3">
      <c r="B33" s="3"/>
      <c r="C33" s="3"/>
      <c r="D33" s="3"/>
      <c r="E33" s="3"/>
      <c r="F33" s="3"/>
      <c r="G33" s="232" t="s">
        <v>118</v>
      </c>
      <c r="H33" s="233"/>
      <c r="I33" s="233"/>
      <c r="J33" s="233"/>
      <c r="K33" s="234"/>
      <c r="M33" s="241" t="s">
        <v>13</v>
      </c>
      <c r="N33" s="242"/>
      <c r="O33" s="242"/>
      <c r="P33" s="242"/>
      <c r="Q33" s="242"/>
      <c r="R33" s="242"/>
      <c r="S33" s="242"/>
      <c r="T33" s="242"/>
      <c r="U33" s="242"/>
      <c r="V33" s="242"/>
      <c r="W33" s="24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2:45" ht="15" customHeight="1" x14ac:dyDescent="0.25">
      <c r="B34" s="3"/>
      <c r="C34" s="3"/>
      <c r="D34" s="3"/>
      <c r="E34" s="3"/>
      <c r="F34" s="3"/>
      <c r="G34" s="235"/>
      <c r="H34" s="236"/>
      <c r="I34" s="236"/>
      <c r="J34" s="236"/>
      <c r="K34" s="237"/>
      <c r="M34" s="244" t="s">
        <v>135</v>
      </c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2:45" ht="15.75" thickBot="1" x14ac:dyDescent="0.3">
      <c r="B35" s="3"/>
      <c r="C35" s="3"/>
      <c r="D35" s="3"/>
      <c r="E35" s="3"/>
      <c r="F35" s="3"/>
      <c r="G35" s="235"/>
      <c r="H35" s="236"/>
      <c r="I35" s="236"/>
      <c r="J35" s="236"/>
      <c r="K35" s="237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2:45" ht="63" thickBot="1" x14ac:dyDescent="0.3">
      <c r="B36" s="3"/>
      <c r="C36" s="3"/>
      <c r="D36" s="3"/>
      <c r="E36" s="3"/>
      <c r="F36" s="3"/>
      <c r="G36" s="235"/>
      <c r="H36" s="236"/>
      <c r="I36" s="236"/>
      <c r="J36" s="236"/>
      <c r="K36" s="237"/>
      <c r="M36" s="159" t="s">
        <v>122</v>
      </c>
      <c r="N36" s="160" t="s">
        <v>101</v>
      </c>
      <c r="O36" s="160" t="s">
        <v>100</v>
      </c>
      <c r="P36" s="158" t="s">
        <v>14</v>
      </c>
      <c r="Q36" s="160" t="s">
        <v>74</v>
      </c>
      <c r="R36" s="160" t="s">
        <v>75</v>
      </c>
      <c r="S36" s="160" t="s">
        <v>76</v>
      </c>
      <c r="T36" s="158" t="s">
        <v>15</v>
      </c>
      <c r="U36" s="160" t="s">
        <v>77</v>
      </c>
      <c r="V36" s="228" t="s">
        <v>9</v>
      </c>
      <c r="W36" s="229"/>
      <c r="X36" s="3"/>
      <c r="Y36" s="3"/>
      <c r="Z36" s="223"/>
      <c r="AA36" s="223"/>
      <c r="AB36" s="223"/>
      <c r="AC36" s="223"/>
      <c r="AD36" s="223"/>
      <c r="AE36" s="22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2:45" x14ac:dyDescent="0.25">
      <c r="B37" s="3"/>
      <c r="C37" s="3"/>
      <c r="D37" s="3"/>
      <c r="E37" s="3"/>
      <c r="F37" s="3"/>
      <c r="G37" s="235"/>
      <c r="H37" s="236"/>
      <c r="I37" s="236"/>
      <c r="J37" s="236"/>
      <c r="K37" s="237"/>
      <c r="M37" s="125">
        <f>(L26*Q26)*2+(E26*L26)*2+E26*Q26</f>
        <v>0</v>
      </c>
      <c r="N37" s="122">
        <f>X6</f>
        <v>0</v>
      </c>
      <c r="O37" s="116">
        <f>X8</f>
        <v>0</v>
      </c>
      <c r="P37" s="116">
        <f>W26</f>
        <v>0</v>
      </c>
      <c r="Q37" s="32">
        <f>PRODUCT(E26,Q26)</f>
        <v>0</v>
      </c>
      <c r="R37" s="116">
        <f>L26</f>
        <v>0</v>
      </c>
      <c r="S37" s="155">
        <f>SUM(E26*2,Q26*2)</f>
        <v>0</v>
      </c>
      <c r="T37" s="169" t="str">
        <f>IFERROR(PRODUCT(Q37,1/S37),"")</f>
        <v/>
      </c>
      <c r="U37" s="172" t="str">
        <f>IFERROR(((2*P37*Q37)/(O37*S37))*LN((R37+T37)/(0.5*R37+T37)),"")</f>
        <v/>
      </c>
      <c r="V37" s="230">
        <f>Y26</f>
        <v>0</v>
      </c>
      <c r="W37" s="231"/>
      <c r="Y37" s="3"/>
      <c r="Z37" s="223"/>
      <c r="AA37" s="223"/>
      <c r="AB37" s="223"/>
      <c r="AC37" s="223"/>
      <c r="AD37" s="223"/>
      <c r="AE37" s="22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2:45" x14ac:dyDescent="0.25">
      <c r="B38" s="3"/>
      <c r="C38" s="3"/>
      <c r="D38" s="3"/>
      <c r="E38" s="3"/>
      <c r="F38" s="3"/>
      <c r="G38" s="235"/>
      <c r="H38" s="236"/>
      <c r="I38" s="236"/>
      <c r="J38" s="236"/>
      <c r="K38" s="237"/>
      <c r="M38" s="126">
        <f>(L27*Q27)*2+(E27*L27)*2+E27*Q27</f>
        <v>0</v>
      </c>
      <c r="N38" s="123">
        <f>X6</f>
        <v>0</v>
      </c>
      <c r="O38" s="117">
        <f>X8</f>
        <v>0</v>
      </c>
      <c r="P38" s="117">
        <f>W27</f>
        <v>0</v>
      </c>
      <c r="Q38" s="57">
        <f>PRODUCT(E27,Q27)</f>
        <v>0</v>
      </c>
      <c r="R38" s="119">
        <f>L27</f>
        <v>0</v>
      </c>
      <c r="S38" s="156">
        <f>SUM(E27*2,Q27*2)</f>
        <v>0</v>
      </c>
      <c r="T38" s="170" t="str">
        <f t="shared" ref="T38:T40" si="7">IFERROR(PRODUCT(Q38,1/S38),"")</f>
        <v/>
      </c>
      <c r="U38" s="173" t="str">
        <f t="shared" ref="U38:U40" si="8">IFERROR(((2*P38*Q38)/(O38*S38))*LN((R38+T38)/(0.5*R38+T38)),"")</f>
        <v/>
      </c>
      <c r="V38" s="224">
        <f>Y27</f>
        <v>0</v>
      </c>
      <c r="W38" s="225"/>
      <c r="Y38" s="3"/>
      <c r="Z38" s="223"/>
      <c r="AA38" s="223"/>
      <c r="AB38" s="223"/>
      <c r="AC38" s="223"/>
      <c r="AD38" s="223"/>
      <c r="AE38" s="22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2:45" x14ac:dyDescent="0.25">
      <c r="B39" s="3"/>
      <c r="C39" s="3"/>
      <c r="D39" s="3"/>
      <c r="E39" s="3"/>
      <c r="F39" s="3"/>
      <c r="G39" s="235"/>
      <c r="H39" s="236"/>
      <c r="I39" s="236"/>
      <c r="J39" s="236"/>
      <c r="K39" s="237"/>
      <c r="M39" s="126">
        <f>(L28*Q28)*2+(E28*L28)*2+E28*Q28</f>
        <v>0</v>
      </c>
      <c r="N39" s="123">
        <f>X6</f>
        <v>0</v>
      </c>
      <c r="O39" s="117">
        <f>X8</f>
        <v>0</v>
      </c>
      <c r="P39" s="117">
        <f>W28</f>
        <v>0</v>
      </c>
      <c r="Q39" s="57">
        <f>PRODUCT(E28,Q28)</f>
        <v>0</v>
      </c>
      <c r="R39" s="119">
        <f>L28</f>
        <v>0</v>
      </c>
      <c r="S39" s="156">
        <f>SUM(E28*2,Q28*2)</f>
        <v>0</v>
      </c>
      <c r="T39" s="170" t="str">
        <f t="shared" si="7"/>
        <v/>
      </c>
      <c r="U39" s="173" t="str">
        <f t="shared" si="8"/>
        <v/>
      </c>
      <c r="V39" s="224">
        <f>Y28</f>
        <v>0</v>
      </c>
      <c r="W39" s="225"/>
      <c r="X39" s="3"/>
      <c r="Y39" s="3"/>
      <c r="Z39" s="223"/>
      <c r="AA39" s="223"/>
      <c r="AB39" s="223"/>
      <c r="AC39" s="223"/>
      <c r="AD39" s="223"/>
      <c r="AE39" s="22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2:45" ht="15.75" thickBot="1" x14ac:dyDescent="0.3">
      <c r="B40" s="3"/>
      <c r="C40" s="3"/>
      <c r="D40" s="3"/>
      <c r="E40" s="3"/>
      <c r="F40" s="3"/>
      <c r="G40" s="238"/>
      <c r="H40" s="239"/>
      <c r="I40" s="239"/>
      <c r="J40" s="239"/>
      <c r="K40" s="240"/>
      <c r="M40" s="127">
        <f>(L29*Q29)*2+(E29*L29)*2+E29*Q29</f>
        <v>0</v>
      </c>
      <c r="N40" s="124">
        <f>X6</f>
        <v>0</v>
      </c>
      <c r="O40" s="118">
        <f>X8</f>
        <v>0</v>
      </c>
      <c r="P40" s="118">
        <f>W29</f>
        <v>0</v>
      </c>
      <c r="Q40" s="99">
        <f>PRODUCT(E29,Q29)</f>
        <v>0</v>
      </c>
      <c r="R40" s="121">
        <f>L29</f>
        <v>0</v>
      </c>
      <c r="S40" s="157">
        <f>SUM(E29*2,Q29*2)</f>
        <v>0</v>
      </c>
      <c r="T40" s="171" t="str">
        <f t="shared" si="7"/>
        <v/>
      </c>
      <c r="U40" s="174" t="str">
        <f t="shared" si="8"/>
        <v/>
      </c>
      <c r="V40" s="226">
        <f>Y29</f>
        <v>0</v>
      </c>
      <c r="W40" s="227"/>
      <c r="X40" s="3"/>
      <c r="Y40" s="3"/>
      <c r="Z40" s="223"/>
      <c r="AA40" s="223"/>
      <c r="AB40" s="223"/>
      <c r="AC40" s="223"/>
      <c r="AD40" s="223"/>
      <c r="AE40" s="22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2:45" ht="15.75" thickBot="1" x14ac:dyDescent="0.3">
      <c r="B41" s="3"/>
      <c r="C41" s="3"/>
      <c r="D41" s="3"/>
      <c r="E41" s="3"/>
      <c r="F41" s="3"/>
      <c r="G41" s="3"/>
      <c r="H41" s="94"/>
      <c r="I41" s="94"/>
      <c r="J41" s="94"/>
      <c r="K41" s="94"/>
      <c r="L41" s="94"/>
      <c r="M41" s="94"/>
      <c r="N41" s="95"/>
      <c r="O41" s="95"/>
      <c r="P41" s="3"/>
      <c r="Q41" s="3"/>
      <c r="R41" s="3"/>
      <c r="S41" s="3"/>
      <c r="T41" s="3"/>
      <c r="U41" s="3"/>
      <c r="V41" s="3"/>
      <c r="W41" s="3"/>
      <c r="X41" s="3"/>
      <c r="Y41" s="3"/>
      <c r="Z41" s="223"/>
      <c r="AA41" s="223"/>
      <c r="AB41" s="223"/>
      <c r="AC41" s="223"/>
      <c r="AD41" s="223"/>
      <c r="AE41" s="22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2:45" ht="23.25" customHeight="1" x14ac:dyDescent="0.3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94"/>
      <c r="N42" s="9" t="s">
        <v>27</v>
      </c>
      <c r="O42" s="10" t="s">
        <v>133</v>
      </c>
      <c r="P42" s="10"/>
      <c r="Q42" s="11"/>
      <c r="R42" s="3"/>
      <c r="S42" s="3"/>
      <c r="T42" s="3"/>
      <c r="U42" s="3"/>
      <c r="V42" s="3"/>
      <c r="W42" s="3"/>
      <c r="X42" s="3"/>
      <c r="Y42" s="3"/>
      <c r="Z42" s="223"/>
      <c r="AA42" s="223"/>
      <c r="AB42" s="223"/>
      <c r="AC42" s="223"/>
      <c r="AD42" s="223"/>
      <c r="AE42" s="22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2:45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94"/>
      <c r="N43" s="12" t="s">
        <v>39</v>
      </c>
      <c r="O43" s="13" t="s">
        <v>24</v>
      </c>
      <c r="P43" s="13"/>
      <c r="Q43" s="14"/>
      <c r="R43" s="3"/>
      <c r="S43" s="3"/>
      <c r="T43" s="3"/>
      <c r="U43" s="3"/>
      <c r="V43" s="3"/>
      <c r="W43" s="3"/>
      <c r="X43" s="3"/>
      <c r="Y43" s="3"/>
      <c r="Z43" s="223"/>
      <c r="AA43" s="223"/>
      <c r="AB43" s="223"/>
      <c r="AC43" s="223"/>
      <c r="AD43" s="223"/>
      <c r="AE43" s="22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2:45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94"/>
      <c r="N44" s="12" t="s">
        <v>40</v>
      </c>
      <c r="O44" s="13" t="s">
        <v>25</v>
      </c>
      <c r="P44" s="13"/>
      <c r="Q44" s="14"/>
      <c r="R44" s="3"/>
      <c r="S44" s="3"/>
      <c r="T44" s="3"/>
      <c r="U44" s="3"/>
      <c r="V44" s="3"/>
      <c r="W44" s="3"/>
      <c r="X44" s="3"/>
      <c r="Y44" s="3"/>
      <c r="Z44" s="223"/>
      <c r="AA44" s="223"/>
      <c r="AB44" s="223"/>
      <c r="AC44" s="223"/>
      <c r="AD44" s="223"/>
      <c r="AE44" s="22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2:45" ht="18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2" t="s">
        <v>41</v>
      </c>
      <c r="O45" s="13" t="s">
        <v>26</v>
      </c>
      <c r="P45" s="13"/>
      <c r="Q45" s="14"/>
      <c r="R45" s="3"/>
      <c r="S45" s="3"/>
      <c r="T45" s="3"/>
      <c r="U45" s="3"/>
      <c r="V45" s="3"/>
      <c r="W45" s="3"/>
      <c r="X45" s="3"/>
      <c r="Y45" s="3"/>
      <c r="Z45" s="223"/>
      <c r="AA45" s="223"/>
      <c r="AB45" s="223"/>
      <c r="AC45" s="223"/>
      <c r="AD45" s="223"/>
      <c r="AE45" s="22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2:45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2" t="s">
        <v>42</v>
      </c>
      <c r="O46" s="26" t="s">
        <v>31</v>
      </c>
      <c r="P46" s="13"/>
      <c r="Q46" s="14"/>
      <c r="R46" s="3"/>
      <c r="S46" s="3"/>
      <c r="T46" s="3"/>
      <c r="U46" s="3"/>
      <c r="V46" s="3"/>
      <c r="W46" s="3"/>
      <c r="X46" s="3"/>
      <c r="Y46" s="3"/>
      <c r="Z46" s="223"/>
      <c r="AA46" s="223"/>
      <c r="AB46" s="223"/>
      <c r="AC46" s="223"/>
      <c r="AD46" s="223"/>
      <c r="AE46" s="22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2:45" ht="15.7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87" t="s">
        <v>46</v>
      </c>
      <c r="O47" s="26" t="s">
        <v>47</v>
      </c>
      <c r="P47" s="21"/>
      <c r="Q47" s="88"/>
      <c r="R47" s="3"/>
      <c r="S47" s="3"/>
      <c r="T47" s="3"/>
      <c r="U47" s="3"/>
      <c r="V47" s="3"/>
      <c r="W47" s="3"/>
      <c r="X47" s="3"/>
      <c r="Y47" s="3"/>
      <c r="Z47" s="223"/>
      <c r="AA47" s="223"/>
      <c r="AB47" s="223"/>
      <c r="AC47" s="223"/>
      <c r="AD47" s="223"/>
      <c r="AE47" s="22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2:45" ht="15.75" thickBot="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5"/>
      <c r="O48" s="22"/>
      <c r="P48" s="22"/>
      <c r="Q48" s="19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2:45" ht="20.2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1"/>
      <c r="O49" s="21"/>
      <c r="P49" s="21"/>
      <c r="Q49" s="21"/>
      <c r="R49" s="3"/>
      <c r="S49" s="3"/>
      <c r="T49" s="3"/>
      <c r="U49" s="3"/>
      <c r="V49" s="3"/>
      <c r="W49" s="3"/>
      <c r="X49" s="3"/>
      <c r="Y49" s="3"/>
      <c r="Z49" s="94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2:45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2:45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2:45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2:45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2:45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2:45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2:45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2:45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2:45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2:45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2:45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2:45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2:45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2:45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2:45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2:26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2:26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2:26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2:26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2:26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2:26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2:26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2:26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2:26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2:26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2:26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2:26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2:26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2:26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2:26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2:26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2:26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2:26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2:26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2:26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2:26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2:26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2:26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2:26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2:26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2:26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2:26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2:26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2:26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2:26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2:26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2:26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2:26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2:26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2:26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2:26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</sheetData>
  <sheetProtection algorithmName="SHA-512" hashValue="+q8ugVEpdveZpG6OGbifJUJ4muxhiJOUdQdstf9mDf94EB9e027ydtg9RW4A9tAFkbHhL1u35hCoy3taObu0+A==" saltValue="lctGW6c8yutW8IXpzzFZPQ==" spinCount="100000" sheet="1" selectLockedCells="1"/>
  <mergeCells count="23">
    <mergeCell ref="B2:Y2"/>
    <mergeCell ref="Z36:AE47"/>
    <mergeCell ref="V39:W39"/>
    <mergeCell ref="V40:W40"/>
    <mergeCell ref="V38:W38"/>
    <mergeCell ref="V36:W36"/>
    <mergeCell ref="V37:W37"/>
    <mergeCell ref="G33:K40"/>
    <mergeCell ref="M33:W33"/>
    <mergeCell ref="M34:W35"/>
    <mergeCell ref="B23:Y23"/>
    <mergeCell ref="B17:D17"/>
    <mergeCell ref="B19:D19"/>
    <mergeCell ref="G4:I4"/>
    <mergeCell ref="B4:E4"/>
    <mergeCell ref="T7:W8"/>
    <mergeCell ref="T4:Y4"/>
    <mergeCell ref="K4:R4"/>
    <mergeCell ref="T6:W6"/>
    <mergeCell ref="K12:R12"/>
    <mergeCell ref="X6:Y6"/>
    <mergeCell ref="X7:Y7"/>
    <mergeCell ref="X8:Y8"/>
  </mergeCells>
  <dataValidations count="2">
    <dataValidation allowBlank="1" showInputMessage="1" sqref="B11" xr:uid="{00000000-0002-0000-0200-000000000000}"/>
    <dataValidation type="decimal" allowBlank="1" showInputMessage="1" showErrorMessage="1" errorTitle="VALOR NO CORRECTO" error="El valor debe encontrarse entre 0 y 1" sqref="O7:O10" xr:uid="{00000000-0002-0000-0200-000001000000}">
      <formula1>0</formula1>
      <formula2>1</formula2>
    </dataValidation>
  </dataValidations>
  <pageMargins left="0.70866141732283472" right="0.70866141732283472" top="0.74803149606299213" bottom="0.74803149606299213" header="0.31496062992125984" footer="0.31496062992125984"/>
  <pageSetup paperSize="8" scale="67" orientation="landscape" r:id="rId1"/>
  <ignoredErrors>
    <ignoredError sqref="E7 E8:E16 D7:D16 W26:W29" unlockedFormula="1"/>
    <ignoredError sqref="J8:J10" evalError="1"/>
    <ignoredError sqref="P8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442D8A74-B4E0-4745-97CE-7BE04DF0FE55}">
            <x14:iconSet iconSet="3Symbols2" custom="1">
              <x14:cfvo type="percent">
                <xm:f>0</xm:f>
              </x14:cfvo>
              <x14:cfvo type="num">
                <xm:f>48</xm:f>
              </x14:cfvo>
              <x14:cfvo type="num" gte="0">
                <xm:f>48</xm:f>
              </x14:cfvo>
              <x14:cfIcon iconSet="3Symbols2" iconId="2"/>
              <x14:cfIcon iconSet="NoIcons" iconId="0"/>
              <x14:cfIcon iconSet="3Symbols2" iconId="0"/>
            </x14:iconSet>
          </x14:cfRule>
          <xm:sqref>U37:U40</xm:sqref>
        </x14:conditionalFormatting>
        <x14:conditionalFormatting xmlns:xm="http://schemas.microsoft.com/office/excel/2006/main">
          <x14:cfRule type="iconSet" priority="10" id="{C4FA2F60-BF13-4F3E-B407-E12047D13B11}">
            <x14:iconSet iconSet="3Symbols2" custom="1">
              <x14:cfvo type="percent">
                <xm:f>0</xm:f>
              </x14:cfvo>
              <x14:cfvo type="num">
                <xm:f>$I$7</xm:f>
              </x14:cfvo>
              <x14:cfvo type="formula">
                <xm:f>$I$7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Q7</xm:sqref>
        </x14:conditionalFormatting>
        <x14:conditionalFormatting xmlns:xm="http://schemas.microsoft.com/office/excel/2006/main">
          <x14:cfRule type="iconSet" priority="9" id="{5C30CF30-3C2F-4D59-A0AF-B529D65FBFA4}">
            <x14:iconSet iconSet="3Symbols2" custom="1">
              <x14:cfvo type="percent">
                <xm:f>0</xm:f>
              </x14:cfvo>
              <x14:cfvo type="formula">
                <xm:f>$I$7</xm:f>
              </x14:cfvo>
              <x14:cfvo type="formula">
                <xm:f>$I$7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Q8:Q10</xm:sqref>
        </x14:conditionalFormatting>
        <x14:conditionalFormatting xmlns:xm="http://schemas.microsoft.com/office/excel/2006/main">
          <x14:cfRule type="iconSet" priority="7" id="{BD6645D5-48EC-4DEF-BB87-140D534DCE5C}">
            <x14:iconSet iconSet="3Symbols2" custom="1">
              <x14:cfvo type="percent">
                <xm:f>0</xm:f>
              </x14:cfvo>
              <x14:cfvo type="formula">
                <xm:f>$I$7</xm:f>
              </x14:cfvo>
              <x14:cfvo type="formula">
                <xm:f>$I$7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X26:X29</xm:sqref>
        </x14:conditionalFormatting>
        <x14:conditionalFormatting xmlns:xm="http://schemas.microsoft.com/office/excel/2006/main">
          <x14:cfRule type="iconSet" priority="1" id="{A2752E89-DC72-4B8D-97F0-E33EA4D025D8}">
            <x14:iconSet iconSet="3Symbols2" custom="1">
              <x14:cfvo type="percent">
                <xm:f>0</xm:f>
              </x14:cfvo>
              <x14:cfvo type="num" gte="0">
                <xm:f>1</xm:f>
              </x14:cfvo>
              <x14:cfvo type="num">
                <xm:f>1000000</xm:f>
              </x14:cfvo>
              <x14:cfIcon iconSet="NoIcons" iconId="0"/>
              <x14:cfIcon iconSet="3Symbols2" iconId="0"/>
              <x14:cfIcon iconSet="4RedToBlack" iconId="1"/>
            </x14:iconSet>
          </x14:cfRule>
          <xm:sqref>O7:O10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xr:uid="{00000000-0002-0000-0200-000002000000}">
          <x14:formula1>
            <xm:f>Hoja3!$F$2:$F$5</xm:f>
          </x14:formula1>
          <xm:sqref>D7:D16</xm:sqref>
        </x14:dataValidation>
        <x14:dataValidation type="list" allowBlank="1" showInputMessage="1" showErrorMessage="1" xr:uid="{00000000-0002-0000-0200-000003000000}">
          <x14:formula1>
            <xm:f>Hoja3!$D$1:$D$6</xm:f>
          </x14:formula1>
          <xm:sqref>H6</xm:sqref>
        </x14:dataValidation>
        <x14:dataValidation type="list" allowBlank="1" showInputMessage="1" showErrorMessage="1" xr:uid="{00000000-0002-0000-0200-000004000000}">
          <x14:formula1>
            <xm:f>Hoja3!$J$2:$J$7</xm:f>
          </x14:formula1>
          <xm:sqref>C7:C16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49"/>
  <sheetViews>
    <sheetView showGridLines="0" zoomScale="85" zoomScaleNormal="85" workbookViewId="0">
      <selection activeCell="Q8" sqref="Q8"/>
    </sheetView>
  </sheetViews>
  <sheetFormatPr baseColWidth="10" defaultColWidth="11.42578125" defaultRowHeight="15" x14ac:dyDescent="0.25"/>
  <cols>
    <col min="1" max="1" width="3.42578125" style="3" customWidth="1"/>
    <col min="2" max="4" width="11.42578125" style="3"/>
    <col min="5" max="5" width="12.5703125" style="3" customWidth="1"/>
    <col min="6" max="6" width="7.85546875" style="3" customWidth="1"/>
    <col min="7" max="7" width="11.28515625" style="3" customWidth="1"/>
    <col min="8" max="8" width="13.7109375" style="3" customWidth="1"/>
    <col min="9" max="9" width="13.140625" style="3" customWidth="1"/>
    <col min="10" max="10" width="9.7109375" style="3" customWidth="1"/>
    <col min="11" max="11" width="10.7109375" style="3" bestFit="1" customWidth="1"/>
    <col min="12" max="12" width="9.5703125" style="3" customWidth="1"/>
    <col min="13" max="13" width="11.42578125" style="3" customWidth="1"/>
    <col min="14" max="14" width="10.85546875" style="3" bestFit="1" customWidth="1"/>
    <col min="15" max="15" width="11.5703125" style="3" customWidth="1"/>
    <col min="16" max="16" width="14.42578125" style="3" bestFit="1" customWidth="1"/>
    <col min="17" max="17" width="15" style="3" customWidth="1"/>
    <col min="18" max="18" width="10.42578125" style="3" customWidth="1"/>
    <col min="19" max="19" width="10.5703125" style="3" customWidth="1"/>
    <col min="20" max="20" width="14.42578125" style="3" bestFit="1" customWidth="1"/>
    <col min="21" max="21" width="6.140625" style="3" customWidth="1"/>
    <col min="22" max="22" width="12.5703125" style="3" bestFit="1" customWidth="1"/>
    <col min="23" max="23" width="22.42578125" style="3" bestFit="1" customWidth="1"/>
    <col min="24" max="24" width="6.42578125" style="3" bestFit="1" customWidth="1"/>
    <col min="25" max="25" width="11.42578125" style="3"/>
    <col min="26" max="26" width="14.28515625" style="3" customWidth="1"/>
    <col min="27" max="27" width="11.42578125" style="3"/>
    <col min="28" max="28" width="14" style="3" bestFit="1" customWidth="1"/>
    <col min="29" max="16384" width="11.42578125" style="3"/>
  </cols>
  <sheetData>
    <row r="2" spans="2:23" ht="28.5" customHeight="1" x14ac:dyDescent="0.25">
      <c r="B2" s="221" t="s">
        <v>96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106"/>
      <c r="V2" s="106"/>
      <c r="W2" s="106"/>
    </row>
    <row r="3" spans="2:23" ht="15.75" thickBot="1" x14ac:dyDescent="0.3"/>
    <row r="4" spans="2:23" ht="33" customHeight="1" thickBot="1" x14ac:dyDescent="0.3">
      <c r="B4" s="246" t="s">
        <v>0</v>
      </c>
      <c r="C4" s="247"/>
      <c r="D4" s="247"/>
      <c r="E4" s="248"/>
      <c r="F4" s="92"/>
      <c r="H4" s="246" t="s">
        <v>12</v>
      </c>
      <c r="I4" s="247"/>
      <c r="J4" s="248"/>
      <c r="M4" s="246" t="s">
        <v>116</v>
      </c>
      <c r="N4" s="247"/>
      <c r="O4" s="247"/>
      <c r="P4" s="247"/>
      <c r="Q4" s="247"/>
      <c r="R4" s="247"/>
      <c r="S4" s="247"/>
      <c r="T4" s="248"/>
    </row>
    <row r="5" spans="2:23" ht="15.75" thickBot="1" x14ac:dyDescent="0.3">
      <c r="I5" s="93"/>
    </row>
    <row r="6" spans="2:23" ht="59.25" customHeight="1" thickBot="1" x14ac:dyDescent="0.3">
      <c r="B6" s="5" t="s">
        <v>53</v>
      </c>
      <c r="C6" s="5" t="s">
        <v>2</v>
      </c>
      <c r="D6" s="5" t="s">
        <v>1</v>
      </c>
      <c r="E6" s="111" t="s">
        <v>78</v>
      </c>
      <c r="H6" s="5" t="s">
        <v>56</v>
      </c>
      <c r="I6" s="35" t="s">
        <v>131</v>
      </c>
      <c r="J6" s="5" t="s">
        <v>55</v>
      </c>
      <c r="M6" s="5" t="s">
        <v>61</v>
      </c>
      <c r="N6" s="5" t="s">
        <v>62</v>
      </c>
      <c r="O6" s="5" t="s">
        <v>63</v>
      </c>
      <c r="P6" s="5" t="s">
        <v>67</v>
      </c>
      <c r="Q6" s="48" t="s">
        <v>102</v>
      </c>
      <c r="R6" s="4" t="s">
        <v>71</v>
      </c>
      <c r="S6" s="4" t="s">
        <v>110</v>
      </c>
      <c r="T6" s="4" t="s">
        <v>109</v>
      </c>
    </row>
    <row r="7" spans="2:23" ht="24.95" customHeight="1" thickBot="1" x14ac:dyDescent="0.3">
      <c r="B7" s="113"/>
      <c r="C7" s="137"/>
      <c r="D7" s="138" t="str">
        <f>IFERROR(VLOOKUP(C7,Hoja3!J2:K7,2,0),"")</f>
        <v/>
      </c>
      <c r="E7" s="139" t="str">
        <f t="shared" ref="E7:E16" si="0">IFERROR((D7*B7),"")</f>
        <v/>
      </c>
      <c r="H7" s="40">
        <f>E17</f>
        <v>0</v>
      </c>
      <c r="I7" s="31">
        <f>VLOOKUP(I6,Hoja3!D1:E6,2)</f>
        <v>15</v>
      </c>
      <c r="J7" s="100">
        <f>PRODUCT(H7,I7/1000)</f>
        <v>0</v>
      </c>
      <c r="M7" s="96"/>
      <c r="N7" s="96"/>
      <c r="O7" s="96"/>
      <c r="P7" s="51">
        <f>SUM(N7,O7)</f>
        <v>0</v>
      </c>
      <c r="Q7" s="103"/>
      <c r="R7" s="50">
        <f>PRODUCT(M7,P7,Q7)</f>
        <v>0</v>
      </c>
      <c r="S7" s="52">
        <f>M7*O7*Q7*T7</f>
        <v>0</v>
      </c>
      <c r="T7" s="97">
        <v>0.3</v>
      </c>
    </row>
    <row r="8" spans="2:23" ht="24.95" customHeight="1" thickBot="1" x14ac:dyDescent="0.3">
      <c r="B8" s="114"/>
      <c r="C8" s="134"/>
      <c r="D8" s="135" t="str">
        <f>IFERROR(VLOOKUP(C8,Hoja3!J2:K7,2,0),"")</f>
        <v/>
      </c>
      <c r="E8" s="136" t="str">
        <f t="shared" si="0"/>
        <v/>
      </c>
      <c r="J8" s="104"/>
      <c r="M8" s="96"/>
      <c r="N8" s="96"/>
      <c r="O8" s="96"/>
      <c r="P8" s="51">
        <f>SUM(N8,O8)</f>
        <v>0</v>
      </c>
      <c r="Q8" s="103"/>
      <c r="R8" s="50">
        <f>PRODUCT(M8,P8,Q8)</f>
        <v>0</v>
      </c>
      <c r="S8" s="52">
        <f t="shared" ref="S8:S10" si="1">M8*O8*Q8*T8</f>
        <v>0</v>
      </c>
      <c r="T8" s="97">
        <v>0.3</v>
      </c>
    </row>
    <row r="9" spans="2:23" ht="24.95" customHeight="1" thickBot="1" x14ac:dyDescent="0.3">
      <c r="B9" s="114"/>
      <c r="C9" s="134"/>
      <c r="D9" s="135" t="str">
        <f>IFERROR(VLOOKUP(C9,Hoja3!J2:K7,2,0),"")</f>
        <v/>
      </c>
      <c r="E9" s="136" t="str">
        <f t="shared" si="0"/>
        <v/>
      </c>
      <c r="G9" s="207" t="s">
        <v>98</v>
      </c>
      <c r="H9" s="208"/>
      <c r="I9" s="209"/>
      <c r="J9" s="216"/>
      <c r="K9" s="262"/>
      <c r="M9" s="96"/>
      <c r="N9" s="96"/>
      <c r="O9" s="96"/>
      <c r="P9" s="51">
        <f>SUM(N9,O9)</f>
        <v>0</v>
      </c>
      <c r="Q9" s="103"/>
      <c r="R9" s="50">
        <f>PRODUCT(M9,P9,Q9)</f>
        <v>0</v>
      </c>
      <c r="S9" s="52">
        <f t="shared" si="1"/>
        <v>0</v>
      </c>
      <c r="T9" s="97">
        <v>0.3</v>
      </c>
    </row>
    <row r="10" spans="2:23" ht="24.95" customHeight="1" thickBot="1" x14ac:dyDescent="0.3">
      <c r="B10" s="114"/>
      <c r="C10" s="134"/>
      <c r="D10" s="135" t="str">
        <f>IFERROR(VLOOKUP(C10,Hoja3!J2:K7,2,0),"")</f>
        <v/>
      </c>
      <c r="E10" s="136" t="str">
        <f t="shared" si="0"/>
        <v/>
      </c>
      <c r="G10" s="267" t="s">
        <v>99</v>
      </c>
      <c r="H10" s="268"/>
      <c r="I10" s="269"/>
      <c r="J10" s="273">
        <f>J9/I12</f>
        <v>0</v>
      </c>
      <c r="K10" s="274"/>
      <c r="M10" s="96"/>
      <c r="N10" s="96"/>
      <c r="O10" s="96"/>
      <c r="P10" s="51">
        <f>SUM(N10,O10)</f>
        <v>0</v>
      </c>
      <c r="Q10" s="103"/>
      <c r="R10" s="50">
        <f>PRODUCT(M10,P10,Q10)</f>
        <v>0</v>
      </c>
      <c r="S10" s="52">
        <f t="shared" si="1"/>
        <v>0</v>
      </c>
      <c r="T10" s="97">
        <v>0.3</v>
      </c>
    </row>
    <row r="11" spans="2:23" ht="24.95" customHeight="1" thickTop="1" thickBot="1" x14ac:dyDescent="0.3">
      <c r="B11" s="114"/>
      <c r="C11" s="134"/>
      <c r="D11" s="135" t="str">
        <f>IFERROR(VLOOKUP(C11,Hoja3!J2:K7,2,0),"")</f>
        <v/>
      </c>
      <c r="E11" s="136" t="str">
        <f t="shared" si="0"/>
        <v/>
      </c>
      <c r="G11" s="270"/>
      <c r="H11" s="271"/>
      <c r="I11" s="272"/>
      <c r="J11" s="275">
        <f>PRODUCT(J10,3600)</f>
        <v>0</v>
      </c>
      <c r="K11" s="276"/>
    </row>
    <row r="12" spans="2:23" ht="24.95" customHeight="1" thickBot="1" x14ac:dyDescent="0.3">
      <c r="B12" s="114"/>
      <c r="C12" s="134"/>
      <c r="D12" s="135" t="str">
        <f>IFERROR(VLOOKUP(C12,Hoja3!J2:K7,2,0),"")</f>
        <v/>
      </c>
      <c r="E12" s="136" t="str">
        <f t="shared" si="0"/>
        <v/>
      </c>
      <c r="G12" s="108"/>
      <c r="H12" s="90" t="s">
        <v>97</v>
      </c>
      <c r="I12" s="91">
        <v>1.5</v>
      </c>
      <c r="J12" s="108"/>
      <c r="K12" s="108"/>
    </row>
    <row r="13" spans="2:23" ht="24.95" customHeight="1" thickBot="1" x14ac:dyDescent="0.3">
      <c r="B13" s="114"/>
      <c r="C13" s="134"/>
      <c r="D13" s="135" t="str">
        <f>IFERROR(VLOOKUP(C13,Hoja3!J2:K7,2,0),"")</f>
        <v/>
      </c>
      <c r="E13" s="136" t="str">
        <f t="shared" si="0"/>
        <v/>
      </c>
      <c r="G13" s="277" t="s">
        <v>137</v>
      </c>
      <c r="H13" s="277"/>
      <c r="I13" s="277"/>
      <c r="J13" s="277"/>
      <c r="K13" s="277"/>
      <c r="M13" s="207" t="s">
        <v>13</v>
      </c>
      <c r="N13" s="208"/>
      <c r="O13" s="208"/>
      <c r="P13" s="208"/>
      <c r="Q13" s="208"/>
      <c r="R13" s="208"/>
      <c r="S13" s="208"/>
      <c r="T13" s="209"/>
    </row>
    <row r="14" spans="2:23" ht="24.95" customHeight="1" thickBot="1" x14ac:dyDescent="0.3">
      <c r="B14" s="114"/>
      <c r="C14" s="134"/>
      <c r="D14" s="135" t="str">
        <f>IFERROR(VLOOKUP(C14,Hoja3!J2:K7,2,0),"")</f>
        <v/>
      </c>
      <c r="E14" s="136" t="str">
        <f t="shared" si="0"/>
        <v/>
      </c>
      <c r="G14" s="277"/>
      <c r="H14" s="277"/>
      <c r="I14" s="277"/>
      <c r="J14" s="277"/>
      <c r="K14" s="277"/>
      <c r="M14" s="278" t="s">
        <v>135</v>
      </c>
      <c r="N14" s="278"/>
      <c r="O14" s="278"/>
      <c r="P14" s="278"/>
      <c r="Q14" s="278"/>
      <c r="R14" s="278"/>
      <c r="S14" s="278"/>
      <c r="T14" s="278"/>
    </row>
    <row r="15" spans="2:23" ht="24.95" customHeight="1" thickBot="1" x14ac:dyDescent="0.3">
      <c r="B15" s="114"/>
      <c r="C15" s="134"/>
      <c r="D15" s="135" t="str">
        <f>IFERROR(VLOOKUP(C15,Hoja3!J2:K7,2,0),"")</f>
        <v/>
      </c>
      <c r="E15" s="136" t="str">
        <f t="shared" si="0"/>
        <v/>
      </c>
      <c r="G15" s="277"/>
      <c r="H15" s="277"/>
      <c r="I15" s="277"/>
      <c r="J15" s="277"/>
      <c r="K15" s="277"/>
      <c r="M15" s="166" t="s">
        <v>101</v>
      </c>
      <c r="N15" s="167" t="s">
        <v>100</v>
      </c>
      <c r="O15" s="158" t="s">
        <v>117</v>
      </c>
      <c r="P15" s="160" t="s">
        <v>111</v>
      </c>
      <c r="Q15" s="160" t="s">
        <v>112</v>
      </c>
      <c r="R15" s="160" t="s">
        <v>113</v>
      </c>
      <c r="S15" s="158" t="s">
        <v>15</v>
      </c>
      <c r="T15" s="165" t="s">
        <v>114</v>
      </c>
    </row>
    <row r="16" spans="2:23" ht="24.95" customHeight="1" thickBot="1" x14ac:dyDescent="0.3">
      <c r="B16" s="115"/>
      <c r="C16" s="140"/>
      <c r="D16" s="141" t="str">
        <f>IFERROR(VLOOKUP(C16,Hoja3!J2:K7,2,0),"")</f>
        <v/>
      </c>
      <c r="E16" s="142" t="str">
        <f t="shared" si="0"/>
        <v/>
      </c>
      <c r="M16" s="98">
        <f>J9</f>
        <v>0</v>
      </c>
      <c r="N16" s="116">
        <f>J11</f>
        <v>0</v>
      </c>
      <c r="O16" s="150">
        <f>T7</f>
        <v>0.3</v>
      </c>
      <c r="P16" s="32">
        <f>PRODUCT(M7,Q7)</f>
        <v>0</v>
      </c>
      <c r="Q16" s="105">
        <f>O7</f>
        <v>0</v>
      </c>
      <c r="R16" s="32">
        <f>SUM(M7*2,Q7*2)</f>
        <v>0</v>
      </c>
      <c r="S16" s="161" t="str">
        <f>IFERROR(PRODUCT(P16,1/R16),"")</f>
        <v/>
      </c>
      <c r="T16" s="168" t="str">
        <f>IFERROR(((2*O16*P16)/(N16*R16))*LN((Q16+S16)/(0.5*Q16+S16)),"")</f>
        <v/>
      </c>
    </row>
    <row r="17" spans="2:23" ht="24.95" customHeight="1" thickBot="1" x14ac:dyDescent="0.3">
      <c r="B17" s="249" t="s">
        <v>3</v>
      </c>
      <c r="C17" s="250"/>
      <c r="D17" s="250"/>
      <c r="E17" s="112">
        <f>SUM(E7:E16)</f>
        <v>0</v>
      </c>
      <c r="M17" s="54">
        <f>J9</f>
        <v>0</v>
      </c>
      <c r="N17" s="117">
        <f>J11</f>
        <v>0</v>
      </c>
      <c r="O17" s="148">
        <f>T8</f>
        <v>0.3</v>
      </c>
      <c r="P17" s="57">
        <f>PRODUCT(M8,Q8)</f>
        <v>0</v>
      </c>
      <c r="Q17" s="58">
        <f>O8</f>
        <v>0</v>
      </c>
      <c r="R17" s="58">
        <f>SUM(M8*2,Q8*2)</f>
        <v>0</v>
      </c>
      <c r="S17" s="162" t="str">
        <f t="shared" ref="S17:S19" si="2">IFERROR(PRODUCT(P17,1/R17),"")</f>
        <v/>
      </c>
      <c r="T17" s="168" t="str">
        <f t="shared" ref="T17:T19" si="3">IFERROR(((2*O17*P17)/(N17*R17))*LN((Q17+S17)/(0.5*Q17+S17)),"")</f>
        <v/>
      </c>
    </row>
    <row r="18" spans="2:23" ht="24.95" customHeight="1" thickBot="1" x14ac:dyDescent="0.3">
      <c r="E18" s="41"/>
      <c r="M18" s="54">
        <f>J9</f>
        <v>0</v>
      </c>
      <c r="N18" s="117">
        <f>J11</f>
        <v>0</v>
      </c>
      <c r="O18" s="148">
        <f>T9</f>
        <v>0.3</v>
      </c>
      <c r="P18" s="57">
        <f>PRODUCT(M9,Q9)</f>
        <v>0</v>
      </c>
      <c r="Q18" s="58">
        <f>O9</f>
        <v>0</v>
      </c>
      <c r="R18" s="58">
        <f>SUM(M9*2,Q9*2)</f>
        <v>0</v>
      </c>
      <c r="S18" s="162" t="str">
        <f t="shared" si="2"/>
        <v/>
      </c>
      <c r="T18" s="168" t="str">
        <f t="shared" si="3"/>
        <v/>
      </c>
    </row>
    <row r="19" spans="2:23" ht="24.95" customHeight="1" thickBot="1" x14ac:dyDescent="0.3">
      <c r="B19" s="264" t="s">
        <v>11</v>
      </c>
      <c r="C19" s="265"/>
      <c r="D19" s="265"/>
      <c r="E19" s="42">
        <f>SUM(B7:B16)</f>
        <v>0</v>
      </c>
      <c r="M19" s="55">
        <f>J9</f>
        <v>0</v>
      </c>
      <c r="N19" s="118">
        <f>J11</f>
        <v>0</v>
      </c>
      <c r="O19" s="149">
        <f>T10</f>
        <v>0.3</v>
      </c>
      <c r="P19" s="99">
        <f>PRODUCT(M10,Q10)</f>
        <v>0</v>
      </c>
      <c r="Q19" s="99">
        <f>O10</f>
        <v>0</v>
      </c>
      <c r="R19" s="59">
        <f>SUM(M10*2,Q10*2)</f>
        <v>0</v>
      </c>
      <c r="S19" s="163" t="str">
        <f t="shared" si="2"/>
        <v/>
      </c>
      <c r="T19" s="168" t="str">
        <f t="shared" si="3"/>
        <v/>
      </c>
    </row>
    <row r="21" spans="2:23" ht="15.75" customHeight="1" thickBot="1" x14ac:dyDescent="0.3"/>
    <row r="22" spans="2:23" ht="15.75" customHeight="1" x14ac:dyDescent="0.35">
      <c r="M22" s="9" t="s">
        <v>27</v>
      </c>
      <c r="N22" s="10" t="s">
        <v>133</v>
      </c>
      <c r="O22" s="10"/>
      <c r="P22" s="11"/>
    </row>
    <row r="23" spans="2:23" ht="15.75" customHeight="1" x14ac:dyDescent="0.25">
      <c r="M23" s="12" t="s">
        <v>39</v>
      </c>
      <c r="N23" s="13" t="s">
        <v>24</v>
      </c>
      <c r="O23" s="13"/>
      <c r="P23" s="14"/>
      <c r="V23" s="107"/>
      <c r="W23" s="107"/>
    </row>
    <row r="24" spans="2:23" ht="15.75" customHeight="1" x14ac:dyDescent="0.25">
      <c r="M24" s="12" t="s">
        <v>40</v>
      </c>
      <c r="N24" s="13" t="s">
        <v>25</v>
      </c>
      <c r="O24" s="13"/>
      <c r="P24" s="14"/>
    </row>
    <row r="25" spans="2:23" ht="15.75" customHeight="1" x14ac:dyDescent="0.35">
      <c r="M25" s="12" t="s">
        <v>41</v>
      </c>
      <c r="N25" s="13" t="s">
        <v>26</v>
      </c>
      <c r="O25" s="13"/>
      <c r="P25" s="14"/>
    </row>
    <row r="26" spans="2:23" ht="15.75" customHeight="1" x14ac:dyDescent="0.25">
      <c r="M26" s="12" t="s">
        <v>42</v>
      </c>
      <c r="N26" s="26" t="s">
        <v>31</v>
      </c>
      <c r="O26" s="13"/>
      <c r="P26" s="14"/>
      <c r="V26" s="266"/>
      <c r="W26" s="266"/>
    </row>
    <row r="27" spans="2:23" ht="15.75" customHeight="1" thickBot="1" x14ac:dyDescent="0.3">
      <c r="M27" s="109" t="s">
        <v>46</v>
      </c>
      <c r="N27" s="110" t="s">
        <v>47</v>
      </c>
      <c r="O27" s="22"/>
      <c r="P27" s="19"/>
      <c r="V27" s="263"/>
      <c r="W27" s="263"/>
    </row>
    <row r="28" spans="2:23" ht="15.75" customHeight="1" x14ac:dyDescent="0.25">
      <c r="V28" s="263"/>
      <c r="W28" s="263"/>
    </row>
    <row r="29" spans="2:23" ht="15.75" customHeight="1" x14ac:dyDescent="0.25">
      <c r="M29" s="21"/>
      <c r="N29" s="21"/>
      <c r="O29" s="21"/>
      <c r="P29" s="21"/>
      <c r="V29" s="263"/>
      <c r="W29" s="263"/>
    </row>
    <row r="30" spans="2:23" ht="15.75" customHeight="1" x14ac:dyDescent="0.25">
      <c r="V30" s="263"/>
      <c r="W30" s="263"/>
    </row>
    <row r="31" spans="2:23" ht="15.75" customHeight="1" x14ac:dyDescent="0.25"/>
    <row r="32" spans="2:23" ht="15.75" customHeight="1" x14ac:dyDescent="0.25">
      <c r="H32" s="94"/>
      <c r="I32" s="94"/>
      <c r="J32" s="94"/>
      <c r="O32" s="95"/>
    </row>
    <row r="33" spans="8:32" ht="15.75" customHeight="1" x14ac:dyDescent="0.25">
      <c r="H33" s="94"/>
      <c r="I33" s="94"/>
      <c r="J33" s="94"/>
    </row>
    <row r="34" spans="8:32" ht="15.75" customHeight="1" x14ac:dyDescent="0.25">
      <c r="H34" s="94"/>
      <c r="I34" s="94"/>
      <c r="J34" s="94"/>
    </row>
    <row r="35" spans="8:32" x14ac:dyDescent="0.25">
      <c r="H35" s="94"/>
      <c r="I35" s="94"/>
      <c r="J35" s="94"/>
    </row>
    <row r="36" spans="8:32" x14ac:dyDescent="0.25">
      <c r="H36" s="94"/>
      <c r="I36" s="94"/>
      <c r="J36" s="94"/>
      <c r="Z36" s="223"/>
      <c r="AA36" s="223"/>
      <c r="AB36" s="223"/>
      <c r="AC36" s="223"/>
      <c r="AD36" s="223"/>
      <c r="AE36" s="223"/>
      <c r="AF36" s="223"/>
    </row>
    <row r="37" spans="8:32" x14ac:dyDescent="0.25">
      <c r="H37" s="94"/>
      <c r="I37" s="94"/>
      <c r="J37" s="94"/>
      <c r="Z37" s="223"/>
      <c r="AA37" s="223"/>
      <c r="AB37" s="223"/>
      <c r="AC37" s="223"/>
      <c r="AD37" s="223"/>
      <c r="AE37" s="223"/>
      <c r="AF37" s="223"/>
    </row>
    <row r="38" spans="8:32" x14ac:dyDescent="0.25">
      <c r="H38" s="94"/>
      <c r="I38" s="94"/>
      <c r="J38" s="94"/>
      <c r="K38" s="94"/>
      <c r="L38" s="94"/>
      <c r="M38" s="94"/>
      <c r="Z38" s="223"/>
      <c r="AA38" s="223"/>
      <c r="AB38" s="223"/>
      <c r="AC38" s="223"/>
      <c r="AD38" s="223"/>
      <c r="AE38" s="223"/>
      <c r="AF38" s="223"/>
    </row>
    <row r="39" spans="8:32" x14ac:dyDescent="0.25">
      <c r="H39" s="94"/>
      <c r="I39" s="94"/>
      <c r="J39" s="94"/>
      <c r="K39" s="94"/>
      <c r="L39" s="94"/>
      <c r="M39" s="94"/>
      <c r="Z39" s="223"/>
      <c r="AA39" s="223"/>
      <c r="AB39" s="223"/>
      <c r="AC39" s="223"/>
      <c r="AD39" s="223"/>
      <c r="AE39" s="223"/>
      <c r="AF39" s="223"/>
    </row>
    <row r="40" spans="8:32" x14ac:dyDescent="0.25">
      <c r="H40" s="94"/>
      <c r="I40" s="94"/>
      <c r="J40" s="94"/>
      <c r="K40" s="94"/>
      <c r="L40" s="94"/>
      <c r="M40" s="94"/>
      <c r="Z40" s="223"/>
      <c r="AA40" s="223"/>
      <c r="AB40" s="223"/>
      <c r="AC40" s="223"/>
      <c r="AD40" s="223"/>
      <c r="AE40" s="223"/>
      <c r="AF40" s="223"/>
    </row>
    <row r="41" spans="8:32" x14ac:dyDescent="0.25">
      <c r="H41" s="94"/>
      <c r="I41" s="94"/>
      <c r="J41" s="94"/>
      <c r="K41" s="94"/>
      <c r="L41" s="94"/>
      <c r="M41" s="94"/>
      <c r="N41" s="95"/>
      <c r="O41" s="95"/>
      <c r="Z41" s="223"/>
      <c r="AA41" s="223"/>
      <c r="AB41" s="223"/>
      <c r="AC41" s="223"/>
      <c r="AD41" s="223"/>
      <c r="AE41" s="223"/>
      <c r="AF41" s="223"/>
    </row>
    <row r="42" spans="8:32" ht="23.25" customHeight="1" x14ac:dyDescent="0.25">
      <c r="M42" s="94"/>
      <c r="Z42" s="223"/>
      <c r="AA42" s="223"/>
      <c r="AB42" s="223"/>
      <c r="AC42" s="223"/>
      <c r="AD42" s="223"/>
      <c r="AE42" s="223"/>
      <c r="AF42" s="223"/>
    </row>
    <row r="43" spans="8:32" x14ac:dyDescent="0.25">
      <c r="M43" s="94"/>
      <c r="Z43" s="223"/>
      <c r="AA43" s="223"/>
      <c r="AB43" s="223"/>
      <c r="AC43" s="223"/>
      <c r="AD43" s="223"/>
      <c r="AE43" s="223"/>
      <c r="AF43" s="223"/>
    </row>
    <row r="44" spans="8:32" x14ac:dyDescent="0.25">
      <c r="M44" s="94"/>
      <c r="Z44" s="223"/>
      <c r="AA44" s="223"/>
      <c r="AB44" s="223"/>
      <c r="AC44" s="223"/>
      <c r="AD44" s="223"/>
      <c r="AE44" s="223"/>
      <c r="AF44" s="223"/>
    </row>
    <row r="45" spans="8:32" x14ac:dyDescent="0.25">
      <c r="Z45" s="223"/>
      <c r="AA45" s="223"/>
      <c r="AB45" s="223"/>
      <c r="AC45" s="223"/>
      <c r="AD45" s="223"/>
      <c r="AE45" s="223"/>
      <c r="AF45" s="223"/>
    </row>
    <row r="46" spans="8:32" x14ac:dyDescent="0.25">
      <c r="Z46" s="223"/>
      <c r="AA46" s="223"/>
      <c r="AB46" s="223"/>
      <c r="AC46" s="223"/>
      <c r="AD46" s="223"/>
      <c r="AE46" s="223"/>
      <c r="AF46" s="223"/>
    </row>
    <row r="47" spans="8:32" ht="15.75" customHeight="1" x14ac:dyDescent="0.25">
      <c r="Z47" s="223"/>
      <c r="AA47" s="223"/>
      <c r="AB47" s="223"/>
      <c r="AC47" s="223"/>
      <c r="AD47" s="223"/>
      <c r="AE47" s="223"/>
      <c r="AF47" s="223"/>
    </row>
    <row r="49" spans="14:26" ht="20.25" customHeight="1" x14ac:dyDescent="0.25">
      <c r="N49" s="21"/>
      <c r="O49" s="21"/>
      <c r="P49" s="21"/>
      <c r="Q49" s="21"/>
      <c r="Z49" s="94"/>
    </row>
  </sheetData>
  <sheetProtection algorithmName="SHA-512" hashValue="LrctAaEnLAZ4RwmDn/0TiSAll9cxx9G1tp7A8is188CK4RC0fTMQpb4H+jW1wrue0j+5mzLt149lq9wVfKDB+g==" saltValue="ExtkItKBEztYeZQBD0Hh2g==" spinCount="100000" sheet="1" selectLockedCells="1"/>
  <mergeCells count="20">
    <mergeCell ref="B17:D17"/>
    <mergeCell ref="B19:D19"/>
    <mergeCell ref="V26:W26"/>
    <mergeCell ref="G10:I11"/>
    <mergeCell ref="J10:K10"/>
    <mergeCell ref="J11:K11"/>
    <mergeCell ref="G13:K15"/>
    <mergeCell ref="M14:T14"/>
    <mergeCell ref="Z36:AF47"/>
    <mergeCell ref="V27:W27"/>
    <mergeCell ref="V28:W28"/>
    <mergeCell ref="V29:W29"/>
    <mergeCell ref="V30:W30"/>
    <mergeCell ref="H4:J4"/>
    <mergeCell ref="M4:T4"/>
    <mergeCell ref="B2:T2"/>
    <mergeCell ref="M13:T13"/>
    <mergeCell ref="B4:E4"/>
    <mergeCell ref="G9:I9"/>
    <mergeCell ref="J9:K9"/>
  </mergeCells>
  <dataValidations count="1">
    <dataValidation allowBlank="1" showInputMessage="1" sqref="B11" xr:uid="{00000000-0002-0000-0100-000000000000}"/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ignoredErrors>
    <ignoredError sqref="I7 O16:O18 D7:D16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3822C433-D268-4B45-8787-C38F4F0E4A92}">
            <x14:iconSet iconSet="3Symbols2" custom="1">
              <x14:cfvo type="percent">
                <xm:f>0</xm:f>
              </x14:cfvo>
              <x14:cfvo type="formula">
                <xm:f>$J$7</xm:f>
              </x14:cfvo>
              <x14:cfvo type="formula">
                <xm:f>$J$7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S7:S10</xm:sqref>
        </x14:conditionalFormatting>
        <x14:conditionalFormatting xmlns:xm="http://schemas.microsoft.com/office/excel/2006/main">
          <x14:cfRule type="iconSet" priority="1" id="{113D1ECC-DBDB-4B36-9EF2-26EA5E20F317}">
            <x14:iconSet iconSet="3Symbols2" custom="1">
              <x14:cfvo type="percent">
                <xm:f>0</xm:f>
              </x14:cfvo>
              <x14:cfvo type="num">
                <xm:f>48</xm:f>
              </x14:cfvo>
              <x14:cfvo type="num" gte="0">
                <xm:f>48</xm:f>
              </x14:cfvo>
              <x14:cfIcon iconSet="3Symbols2" iconId="2"/>
              <x14:cfIcon iconSet="NoIcons" iconId="0"/>
              <x14:cfIcon iconSet="3Symbols2" iconId="0"/>
            </x14:iconSet>
          </x14:cfRule>
          <xm:sqref>T16:T19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Hoja3!$D$1:$D$6</xm:f>
          </x14:formula1>
          <xm:sqref>I6</xm:sqref>
        </x14:dataValidation>
        <x14:dataValidation type="list" allowBlank="1" showDropDown="1" showInputMessage="1" showErrorMessage="1" xr:uid="{00000000-0002-0000-0100-000002000000}">
          <x14:formula1>
            <xm:f>Hoja3!$F$2:$F$5</xm:f>
          </x14:formula1>
          <xm:sqref>D7:D16</xm:sqref>
        </x14:dataValidation>
        <x14:dataValidation type="list" allowBlank="1" showInputMessage="1" showErrorMessage="1" xr:uid="{00000000-0002-0000-0100-000003000000}">
          <x14:formula1>
            <xm:f>Hoja3!$N$2:$N$6</xm:f>
          </x14:formula1>
          <xm:sqref>T7:T10</xm:sqref>
        </x14:dataValidation>
        <x14:dataValidation type="list" allowBlank="1" showInputMessage="1" showErrorMessage="1" xr:uid="{00000000-0002-0000-0100-000004000000}">
          <x14:formula1>
            <xm:f>Hoja3!$J$2:$J$7</xm:f>
          </x14:formula1>
          <xm:sqref>C7:C16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49"/>
  <sheetViews>
    <sheetView showGridLines="0" tabSelected="1" topLeftCell="F4" zoomScale="85" zoomScaleNormal="85" workbookViewId="0">
      <selection activeCell="B2" sqref="B2:AC2"/>
    </sheetView>
  </sheetViews>
  <sheetFormatPr baseColWidth="10" defaultColWidth="11.42578125" defaultRowHeight="15" x14ac:dyDescent="0.25"/>
  <cols>
    <col min="1" max="1" width="3.42578125" style="3" customWidth="1"/>
    <col min="2" max="4" width="11.42578125" style="3"/>
    <col min="5" max="5" width="12.5703125" style="3" customWidth="1"/>
    <col min="6" max="6" width="7.85546875" style="3" customWidth="1"/>
    <col min="7" max="7" width="11.28515625" style="3" customWidth="1"/>
    <col min="8" max="8" width="13.7109375" style="3" customWidth="1"/>
    <col min="9" max="9" width="13.140625" style="3" customWidth="1"/>
    <col min="10" max="10" width="12.28515625" style="3" bestFit="1" customWidth="1"/>
    <col min="11" max="11" width="10.7109375" style="3" bestFit="1" customWidth="1"/>
    <col min="12" max="13" width="9.5703125" style="3" customWidth="1"/>
    <col min="14" max="14" width="10.85546875" style="3" bestFit="1" customWidth="1"/>
    <col min="15" max="15" width="11.5703125" style="3" customWidth="1"/>
    <col min="16" max="16" width="14.42578125" style="3" bestFit="1" customWidth="1"/>
    <col min="17" max="17" width="15" style="3" customWidth="1"/>
    <col min="18" max="18" width="13.28515625" style="3" customWidth="1"/>
    <col min="19" max="19" width="10.5703125" style="3" customWidth="1"/>
    <col min="20" max="20" width="14.42578125" style="3" bestFit="1" customWidth="1"/>
    <col min="21" max="21" width="6.85546875" style="3" customWidth="1"/>
    <col min="22" max="22" width="12.5703125" style="3" bestFit="1" customWidth="1"/>
    <col min="23" max="23" width="11" style="3" customWidth="1"/>
    <col min="24" max="24" width="12.5703125" style="3" customWidth="1"/>
    <col min="25" max="25" width="11.42578125" style="3"/>
    <col min="26" max="26" width="14.28515625" style="3" customWidth="1"/>
    <col min="27" max="27" width="11.42578125" style="3"/>
    <col min="28" max="28" width="10.5703125" style="3" customWidth="1"/>
    <col min="29" max="29" width="15.28515625" style="3" customWidth="1"/>
    <col min="30" max="16384" width="11.42578125" style="3"/>
  </cols>
  <sheetData>
    <row r="2" spans="2:29" ht="28.5" customHeight="1" x14ac:dyDescent="0.25">
      <c r="B2" s="297" t="s">
        <v>96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</row>
    <row r="3" spans="2:29" ht="15.75" thickBot="1" x14ac:dyDescent="0.3"/>
    <row r="4" spans="2:29" ht="33" customHeight="1" thickBot="1" x14ac:dyDescent="0.3">
      <c r="B4" s="246" t="s">
        <v>0</v>
      </c>
      <c r="C4" s="247"/>
      <c r="D4" s="247"/>
      <c r="E4" s="248"/>
      <c r="F4" s="92"/>
      <c r="H4" s="246" t="s">
        <v>12</v>
      </c>
      <c r="I4" s="247"/>
      <c r="J4" s="248"/>
      <c r="M4" s="246" t="s">
        <v>139</v>
      </c>
      <c r="N4" s="247"/>
      <c r="O4" s="247"/>
      <c r="P4" s="247"/>
      <c r="Q4" s="247"/>
      <c r="R4" s="247"/>
      <c r="S4" s="247"/>
      <c r="T4" s="248"/>
      <c r="V4" s="246" t="s">
        <v>138</v>
      </c>
      <c r="W4" s="247"/>
      <c r="X4" s="247"/>
      <c r="Y4" s="247"/>
      <c r="Z4" s="247"/>
      <c r="AA4" s="247"/>
      <c r="AB4" s="247"/>
      <c r="AC4" s="248"/>
    </row>
    <row r="5" spans="2:29" ht="15.75" thickBot="1" x14ac:dyDescent="0.3">
      <c r="I5" s="93"/>
    </row>
    <row r="6" spans="2:29" ht="59.25" customHeight="1" thickBot="1" x14ac:dyDescent="0.3">
      <c r="B6" s="5" t="s">
        <v>53</v>
      </c>
      <c r="C6" s="5" t="s">
        <v>2</v>
      </c>
      <c r="D6" s="5" t="s">
        <v>1</v>
      </c>
      <c r="E6" s="111" t="s">
        <v>78</v>
      </c>
      <c r="H6" s="5" t="s">
        <v>56</v>
      </c>
      <c r="I6" s="35" t="s">
        <v>131</v>
      </c>
      <c r="J6" s="5" t="s">
        <v>55</v>
      </c>
      <c r="M6" s="5" t="s">
        <v>61</v>
      </c>
      <c r="N6" s="5" t="s">
        <v>62</v>
      </c>
      <c r="O6" s="5" t="s">
        <v>63</v>
      </c>
      <c r="P6" s="5" t="s">
        <v>67</v>
      </c>
      <c r="Q6" s="48" t="s">
        <v>102</v>
      </c>
      <c r="R6" s="4" t="s">
        <v>125</v>
      </c>
      <c r="S6" s="4" t="s">
        <v>110</v>
      </c>
      <c r="T6" s="4" t="s">
        <v>148</v>
      </c>
      <c r="V6" s="5" t="s">
        <v>61</v>
      </c>
      <c r="W6" s="5" t="s">
        <v>62</v>
      </c>
      <c r="X6" s="5" t="s">
        <v>63</v>
      </c>
      <c r="Y6" s="5" t="s">
        <v>67</v>
      </c>
      <c r="Z6" s="48" t="s">
        <v>102</v>
      </c>
      <c r="AA6" s="4" t="s">
        <v>125</v>
      </c>
      <c r="AB6" s="4" t="s">
        <v>110</v>
      </c>
      <c r="AC6" s="4" t="s">
        <v>150</v>
      </c>
    </row>
    <row r="7" spans="2:29" ht="24.95" customHeight="1" thickBot="1" x14ac:dyDescent="0.3">
      <c r="B7" s="113">
        <v>200000</v>
      </c>
      <c r="C7" s="137" t="s">
        <v>34</v>
      </c>
      <c r="D7" s="138">
        <f>IFERROR(VLOOKUP(C7,Hoja3!J2:K7,2,0),"")</f>
        <v>0.3</v>
      </c>
      <c r="E7" s="139">
        <f t="shared" ref="E7:E14" si="0">IFERROR((D7*B7),"")</f>
        <v>60000</v>
      </c>
      <c r="H7" s="40">
        <f>E17</f>
        <v>60000</v>
      </c>
      <c r="I7" s="31">
        <f>VLOOKUP(I6,Hoja3!D1:E6,2)</f>
        <v>15</v>
      </c>
      <c r="J7" s="100">
        <f>PRODUCT(H7,I7/1000)</f>
        <v>900</v>
      </c>
      <c r="M7" s="103">
        <v>70</v>
      </c>
      <c r="N7" s="103">
        <v>0.3</v>
      </c>
      <c r="O7" s="103">
        <v>1</v>
      </c>
      <c r="P7" s="51">
        <f>SUM(N7,O7)</f>
        <v>1.3</v>
      </c>
      <c r="Q7" s="103">
        <v>15</v>
      </c>
      <c r="R7" s="50">
        <f>PRODUCT(M7,P7,Q7)</f>
        <v>1365</v>
      </c>
      <c r="S7" s="52">
        <f>M7*N7*Q7*T7</f>
        <v>315</v>
      </c>
      <c r="T7" s="129">
        <v>1</v>
      </c>
      <c r="V7" s="103">
        <v>70</v>
      </c>
      <c r="W7" s="103">
        <v>0.3</v>
      </c>
      <c r="X7" s="103">
        <v>1</v>
      </c>
      <c r="Y7" s="51">
        <f>SUM(W7,X7)</f>
        <v>1.3</v>
      </c>
      <c r="Z7" s="103">
        <v>15</v>
      </c>
      <c r="AA7" s="50">
        <f>PRODUCT(V7,Y7,Z7)</f>
        <v>1365</v>
      </c>
      <c r="AB7" s="52">
        <f>V7*(W7*T7+X7*AC7)*Z7</f>
        <v>1050</v>
      </c>
      <c r="AC7" s="129">
        <v>0.7</v>
      </c>
    </row>
    <row r="8" spans="2:29" ht="24.95" customHeight="1" thickBot="1" x14ac:dyDescent="0.3">
      <c r="B8" s="114"/>
      <c r="C8" s="134"/>
      <c r="D8" s="135" t="str">
        <f>IFERROR(VLOOKUP(C8,Hoja3!J2:K7,2,0),"")</f>
        <v/>
      </c>
      <c r="E8" s="136" t="str">
        <f t="shared" si="0"/>
        <v/>
      </c>
      <c r="J8" s="104"/>
      <c r="M8" s="103"/>
      <c r="N8" s="103"/>
      <c r="O8" s="103"/>
      <c r="P8" s="51">
        <f>SUM(N8,O8)</f>
        <v>0</v>
      </c>
      <c r="Q8" s="103"/>
      <c r="R8" s="50">
        <f>PRODUCT(M8,P8,Q8)</f>
        <v>0</v>
      </c>
      <c r="S8" s="52">
        <f t="shared" ref="S8:S10" si="1">M8*N8*Q8*T8</f>
        <v>0</v>
      </c>
      <c r="T8" s="129">
        <v>1</v>
      </c>
      <c r="V8" s="103"/>
      <c r="W8" s="103"/>
      <c r="X8" s="103"/>
      <c r="Y8" s="51">
        <f>SUM(W8,X8)</f>
        <v>0</v>
      </c>
      <c r="Z8" s="103"/>
      <c r="AA8" s="50">
        <f>PRODUCT(V8,Y8,Z8)</f>
        <v>0</v>
      </c>
      <c r="AB8" s="52">
        <f t="shared" ref="AB8:AB10" si="2">V8*(W8*T8+X8*AC8)*Z8</f>
        <v>0</v>
      </c>
      <c r="AC8" s="129">
        <v>1</v>
      </c>
    </row>
    <row r="9" spans="2:29" ht="24.95" customHeight="1" thickBot="1" x14ac:dyDescent="0.3">
      <c r="B9" s="114"/>
      <c r="C9" s="134"/>
      <c r="D9" s="135" t="str">
        <f>IFERROR(VLOOKUP(C9,Hoja3!J2:K7,2,0),"")</f>
        <v/>
      </c>
      <c r="E9" s="136" t="str">
        <f t="shared" si="0"/>
        <v/>
      </c>
      <c r="G9" s="207" t="s">
        <v>98</v>
      </c>
      <c r="H9" s="208"/>
      <c r="I9" s="209"/>
      <c r="J9" s="216">
        <v>5.0000000000000002E-5</v>
      </c>
      <c r="K9" s="262"/>
      <c r="M9" s="103"/>
      <c r="N9" s="103"/>
      <c r="O9" s="103"/>
      <c r="P9" s="51">
        <f>SUM(N9,O9)</f>
        <v>0</v>
      </c>
      <c r="Q9" s="103"/>
      <c r="R9" s="50">
        <f>PRODUCT(M9,P9,Q9)</f>
        <v>0</v>
      </c>
      <c r="S9" s="52">
        <f t="shared" si="1"/>
        <v>0</v>
      </c>
      <c r="T9" s="129">
        <v>1</v>
      </c>
      <c r="V9" s="103"/>
      <c r="W9" s="103"/>
      <c r="X9" s="103"/>
      <c r="Y9" s="51">
        <f>SUM(W9,X9)</f>
        <v>0</v>
      </c>
      <c r="Z9" s="103"/>
      <c r="AA9" s="50">
        <f>PRODUCT(V9,Y9,Z9)</f>
        <v>0</v>
      </c>
      <c r="AB9" s="52">
        <f t="shared" si="2"/>
        <v>0</v>
      </c>
      <c r="AC9" s="129">
        <v>0.9</v>
      </c>
    </row>
    <row r="10" spans="2:29" ht="24.95" customHeight="1" thickBot="1" x14ac:dyDescent="0.3">
      <c r="B10" s="114"/>
      <c r="C10" s="134"/>
      <c r="D10" s="135" t="str">
        <f>IFERROR(VLOOKUP(C10,Hoja3!J2:K7,2,0),"")</f>
        <v/>
      </c>
      <c r="E10" s="136" t="str">
        <f t="shared" si="0"/>
        <v/>
      </c>
      <c r="G10" s="267" t="s">
        <v>99</v>
      </c>
      <c r="H10" s="268"/>
      <c r="I10" s="269"/>
      <c r="J10" s="273">
        <f>J9/I12</f>
        <v>3.3333333333333335E-5</v>
      </c>
      <c r="K10" s="274"/>
      <c r="M10" s="103"/>
      <c r="N10" s="103"/>
      <c r="O10" s="103"/>
      <c r="P10" s="51">
        <f>SUM(N10,O10)</f>
        <v>0</v>
      </c>
      <c r="Q10" s="103"/>
      <c r="R10" s="50">
        <f>PRODUCT(M10,P10,Q10)</f>
        <v>0</v>
      </c>
      <c r="S10" s="52">
        <f t="shared" si="1"/>
        <v>0</v>
      </c>
      <c r="T10" s="129">
        <v>1</v>
      </c>
      <c r="V10" s="103"/>
      <c r="W10" s="103"/>
      <c r="X10" s="103"/>
      <c r="Y10" s="51">
        <f>SUM(W10,X10)</f>
        <v>0</v>
      </c>
      <c r="Z10" s="103"/>
      <c r="AA10" s="50">
        <f>PRODUCT(V10,Y10,Z10)</f>
        <v>0</v>
      </c>
      <c r="AB10" s="52">
        <f t="shared" si="2"/>
        <v>0</v>
      </c>
      <c r="AC10" s="129">
        <v>0.8</v>
      </c>
    </row>
    <row r="11" spans="2:29" ht="24.95" customHeight="1" thickTop="1" thickBot="1" x14ac:dyDescent="0.3">
      <c r="B11" s="114"/>
      <c r="C11" s="134"/>
      <c r="D11" s="135" t="str">
        <f>IFERROR(VLOOKUP(C11,Hoja3!J2:K7,2,0),"")</f>
        <v/>
      </c>
      <c r="E11" s="136" t="str">
        <f t="shared" si="0"/>
        <v/>
      </c>
      <c r="G11" s="270"/>
      <c r="H11" s="271"/>
      <c r="I11" s="272"/>
      <c r="J11" s="275">
        <f>PRODUCT(J10,3600)</f>
        <v>0.12000000000000001</v>
      </c>
      <c r="K11" s="276"/>
    </row>
    <row r="12" spans="2:29" ht="24.95" customHeight="1" thickBot="1" x14ac:dyDescent="0.3">
      <c r="B12" s="114"/>
      <c r="C12" s="134"/>
      <c r="D12" s="135" t="str">
        <f>IFERROR(VLOOKUP(C12,Hoja3!J2:K7,2,0),"")</f>
        <v/>
      </c>
      <c r="E12" s="136" t="str">
        <f t="shared" si="0"/>
        <v/>
      </c>
      <c r="G12" s="108"/>
      <c r="H12" s="90" t="s">
        <v>97</v>
      </c>
      <c r="I12" s="91">
        <v>1.5</v>
      </c>
      <c r="J12" s="108"/>
      <c r="K12" s="108"/>
    </row>
    <row r="13" spans="2:29" ht="24.95" customHeight="1" thickBot="1" x14ac:dyDescent="0.3">
      <c r="B13" s="114"/>
      <c r="C13" s="134"/>
      <c r="D13" s="135" t="str">
        <f>IFERROR(VLOOKUP(C13,Hoja3!J2:K7,2,0),"")</f>
        <v/>
      </c>
      <c r="E13" s="136" t="str">
        <f t="shared" si="0"/>
        <v/>
      </c>
      <c r="G13" s="279" t="s">
        <v>126</v>
      </c>
      <c r="H13" s="280"/>
      <c r="I13" s="280"/>
      <c r="J13" s="280"/>
      <c r="K13" s="281"/>
      <c r="M13" s="207" t="s">
        <v>13</v>
      </c>
      <c r="N13" s="208"/>
      <c r="O13" s="208"/>
      <c r="P13" s="208"/>
      <c r="Q13" s="208"/>
      <c r="R13" s="208"/>
      <c r="S13" s="208"/>
      <c r="T13" s="209"/>
      <c r="V13" s="207" t="s">
        <v>13</v>
      </c>
      <c r="W13" s="208"/>
      <c r="X13" s="208"/>
      <c r="Y13" s="208"/>
      <c r="Z13" s="208"/>
      <c r="AA13" s="208"/>
      <c r="AB13" s="208"/>
      <c r="AC13" s="209"/>
    </row>
    <row r="14" spans="2:29" ht="24.95" customHeight="1" thickBot="1" x14ac:dyDescent="0.3">
      <c r="B14" s="114"/>
      <c r="C14" s="134"/>
      <c r="D14" s="135" t="str">
        <f>IFERROR(VLOOKUP(C14,Hoja3!J2:K7,2,0),"")</f>
        <v/>
      </c>
      <c r="E14" s="136" t="str">
        <f t="shared" si="0"/>
        <v/>
      </c>
      <c r="G14" s="282"/>
      <c r="H14" s="283"/>
      <c r="I14" s="283"/>
      <c r="J14" s="283"/>
      <c r="K14" s="284"/>
      <c r="M14" s="244" t="s">
        <v>127</v>
      </c>
      <c r="N14" s="244"/>
      <c r="O14" s="244"/>
      <c r="P14" s="244"/>
      <c r="Q14" s="244"/>
      <c r="R14" s="244"/>
      <c r="S14" s="244"/>
      <c r="T14" s="244"/>
      <c r="V14" s="244" t="s">
        <v>127</v>
      </c>
      <c r="W14" s="244"/>
      <c r="X14" s="244"/>
      <c r="Y14" s="244"/>
      <c r="Z14" s="244"/>
      <c r="AA14" s="244"/>
      <c r="AB14" s="244"/>
      <c r="AC14" s="244"/>
    </row>
    <row r="15" spans="2:29" ht="24.95" customHeight="1" thickBot="1" x14ac:dyDescent="0.3">
      <c r="B15" s="114"/>
      <c r="C15" s="134"/>
      <c r="D15" s="135" t="str">
        <f>IFERROR(VLOOKUP(C15,Hoja3!J2:K7,2,0),"")</f>
        <v/>
      </c>
      <c r="E15" s="136" t="str">
        <f>IFERROR((D15*B15),"")</f>
        <v/>
      </c>
      <c r="G15" s="282"/>
      <c r="H15" s="283"/>
      <c r="I15" s="283"/>
      <c r="J15" s="283"/>
      <c r="K15" s="284"/>
      <c r="N15" s="166" t="s">
        <v>101</v>
      </c>
      <c r="O15" s="167" t="s">
        <v>100</v>
      </c>
      <c r="P15" s="158" t="s">
        <v>147</v>
      </c>
      <c r="Q15" s="160" t="s">
        <v>111</v>
      </c>
      <c r="R15" s="160" t="s">
        <v>151</v>
      </c>
      <c r="S15" s="165" t="s">
        <v>114</v>
      </c>
      <c r="W15" s="166" t="s">
        <v>101</v>
      </c>
      <c r="X15" s="167" t="s">
        <v>100</v>
      </c>
      <c r="Y15" s="158" t="s">
        <v>149</v>
      </c>
      <c r="Z15" s="160" t="s">
        <v>111</v>
      </c>
      <c r="AA15" s="160" t="s">
        <v>152</v>
      </c>
      <c r="AB15" s="165" t="s">
        <v>114</v>
      </c>
    </row>
    <row r="16" spans="2:29" ht="24.95" customHeight="1" thickBot="1" x14ac:dyDescent="0.3">
      <c r="B16" s="115"/>
      <c r="C16" s="140"/>
      <c r="D16" s="141" t="str">
        <f>IFERROR(VLOOKUP(C16,Hoja3!J2:K7,2,0),"")</f>
        <v/>
      </c>
      <c r="E16" s="142" t="str">
        <f>IFERROR((D16*B16),"")</f>
        <v/>
      </c>
      <c r="G16" s="285"/>
      <c r="H16" s="286"/>
      <c r="I16" s="286"/>
      <c r="J16" s="286"/>
      <c r="K16" s="287"/>
      <c r="N16" s="98">
        <f>J9</f>
        <v>5.0000000000000002E-5</v>
      </c>
      <c r="O16" s="116">
        <f>J11</f>
        <v>0.12000000000000001</v>
      </c>
      <c r="P16" s="130">
        <f>T7</f>
        <v>1</v>
      </c>
      <c r="Q16" s="32">
        <f>PRODUCT(M7,Q7)</f>
        <v>1050</v>
      </c>
      <c r="R16" s="161">
        <f>N7</f>
        <v>0.3</v>
      </c>
      <c r="S16" s="168">
        <f>IFERROR((P16*R16)/(O16),"")</f>
        <v>2.4999999999999996</v>
      </c>
      <c r="W16" s="98">
        <f>J9</f>
        <v>5.0000000000000002E-5</v>
      </c>
      <c r="X16" s="116">
        <f>J11</f>
        <v>0.12000000000000001</v>
      </c>
      <c r="Y16" s="130">
        <f>AC7</f>
        <v>0.7</v>
      </c>
      <c r="Z16" s="32">
        <f>PRODUCT(V7,Z7)</f>
        <v>1050</v>
      </c>
      <c r="AA16" s="187">
        <f>(W7+X7)</f>
        <v>1.3</v>
      </c>
      <c r="AB16" s="168">
        <f>IFERROR((Y16*X7+W7*T7)/(X16),"")</f>
        <v>8.3333333333333321</v>
      </c>
    </row>
    <row r="17" spans="2:29" ht="24.95" customHeight="1" thickBot="1" x14ac:dyDescent="0.3">
      <c r="B17" s="249" t="s">
        <v>3</v>
      </c>
      <c r="C17" s="250"/>
      <c r="D17" s="250"/>
      <c r="E17" s="112">
        <f>SUM(E7:E16)</f>
        <v>60000</v>
      </c>
      <c r="N17" s="54">
        <f>J9</f>
        <v>5.0000000000000002E-5</v>
      </c>
      <c r="O17" s="117">
        <f>J11</f>
        <v>0.12000000000000001</v>
      </c>
      <c r="P17" s="131">
        <f>T8</f>
        <v>1</v>
      </c>
      <c r="Q17" s="57">
        <f>PRODUCT(M8,Q8)</f>
        <v>0</v>
      </c>
      <c r="R17" s="162">
        <f>N8</f>
        <v>0</v>
      </c>
      <c r="S17" s="168">
        <f t="shared" ref="S17:S19" si="3">IFERROR((P17*R17)/(O17),"")</f>
        <v>0</v>
      </c>
      <c r="W17" s="54">
        <f>J9</f>
        <v>5.0000000000000002E-5</v>
      </c>
      <c r="X17" s="117">
        <f>J11</f>
        <v>0.12000000000000001</v>
      </c>
      <c r="Y17" s="131">
        <f>AC8</f>
        <v>1</v>
      </c>
      <c r="Z17" s="156">
        <f>PRODUCT(V8,Z8)</f>
        <v>0</v>
      </c>
      <c r="AA17" s="162">
        <f t="shared" ref="AA17:AA19" si="4">(W8+X8)</f>
        <v>0</v>
      </c>
      <c r="AB17" s="168">
        <f t="shared" ref="AB17:AB19" si="5">IFERROR((Y17*X8+W8*T8)/(X17),"")</f>
        <v>0</v>
      </c>
    </row>
    <row r="18" spans="2:29" ht="24.95" customHeight="1" thickBot="1" x14ac:dyDescent="0.3">
      <c r="E18" s="41"/>
      <c r="G18" s="288" t="s">
        <v>136</v>
      </c>
      <c r="H18" s="289"/>
      <c r="I18" s="289"/>
      <c r="J18" s="289"/>
      <c r="K18" s="290"/>
      <c r="N18" s="54">
        <f>J9</f>
        <v>5.0000000000000002E-5</v>
      </c>
      <c r="O18" s="117">
        <f>J11</f>
        <v>0.12000000000000001</v>
      </c>
      <c r="P18" s="131">
        <f>T9</f>
        <v>1</v>
      </c>
      <c r="Q18" s="57">
        <f>PRODUCT(M9,Q9)</f>
        <v>0</v>
      </c>
      <c r="R18" s="162">
        <f>N9</f>
        <v>0</v>
      </c>
      <c r="S18" s="168">
        <f t="shared" si="3"/>
        <v>0</v>
      </c>
      <c r="W18" s="54">
        <f>J9</f>
        <v>5.0000000000000002E-5</v>
      </c>
      <c r="X18" s="117">
        <f>J11</f>
        <v>0.12000000000000001</v>
      </c>
      <c r="Y18" s="131">
        <f>AC9</f>
        <v>0.9</v>
      </c>
      <c r="Z18" s="57">
        <f>PRODUCT(V9,Z9)</f>
        <v>0</v>
      </c>
      <c r="AA18" s="162">
        <f t="shared" si="4"/>
        <v>0</v>
      </c>
      <c r="AB18" s="168">
        <f t="shared" si="5"/>
        <v>0</v>
      </c>
    </row>
    <row r="19" spans="2:29" ht="24.95" customHeight="1" thickBot="1" x14ac:dyDescent="0.3">
      <c r="B19" s="264" t="s">
        <v>11</v>
      </c>
      <c r="C19" s="265"/>
      <c r="D19" s="265"/>
      <c r="E19" s="42">
        <f>SUM(B7:B16)</f>
        <v>200000</v>
      </c>
      <c r="G19" s="291"/>
      <c r="H19" s="283"/>
      <c r="I19" s="283"/>
      <c r="J19" s="283"/>
      <c r="K19" s="292"/>
      <c r="N19" s="55">
        <f>J9</f>
        <v>5.0000000000000002E-5</v>
      </c>
      <c r="O19" s="118">
        <f>J11</f>
        <v>0.12000000000000001</v>
      </c>
      <c r="P19" s="132">
        <f>T10</f>
        <v>1</v>
      </c>
      <c r="Q19" s="99">
        <f>PRODUCT(M10,Q10)</f>
        <v>0</v>
      </c>
      <c r="R19" s="163">
        <f>N10</f>
        <v>0</v>
      </c>
      <c r="S19" s="188">
        <f t="shared" si="3"/>
        <v>0</v>
      </c>
      <c r="W19" s="55">
        <f>J9</f>
        <v>5.0000000000000002E-5</v>
      </c>
      <c r="X19" s="118">
        <f>J11</f>
        <v>0.12000000000000001</v>
      </c>
      <c r="Y19" s="132">
        <f>AC10</f>
        <v>0.8</v>
      </c>
      <c r="Z19" s="99">
        <f>PRODUCT(V10,Z10)</f>
        <v>0</v>
      </c>
      <c r="AA19" s="163">
        <f t="shared" si="4"/>
        <v>0</v>
      </c>
      <c r="AB19" s="168">
        <f t="shared" si="5"/>
        <v>0</v>
      </c>
    </row>
    <row r="20" spans="2:29" ht="15.75" thickBot="1" x14ac:dyDescent="0.3">
      <c r="G20" s="293"/>
      <c r="H20" s="294"/>
      <c r="I20" s="294"/>
      <c r="J20" s="294"/>
      <c r="K20" s="295"/>
    </row>
    <row r="21" spans="2:29" ht="15.75" customHeight="1" x14ac:dyDescent="0.25"/>
    <row r="22" spans="2:29" ht="15.75" customHeight="1" thickBot="1" x14ac:dyDescent="0.3">
      <c r="Y22"/>
    </row>
    <row r="23" spans="2:29" ht="15.75" customHeight="1" x14ac:dyDescent="0.35">
      <c r="Q23" s="192" t="s">
        <v>145</v>
      </c>
      <c r="R23" s="194" t="s">
        <v>132</v>
      </c>
      <c r="S23" s="10"/>
      <c r="T23" s="10"/>
      <c r="U23" s="20"/>
      <c r="V23" s="199"/>
      <c r="W23" s="107"/>
    </row>
    <row r="24" spans="2:29" ht="15.75" customHeight="1" x14ac:dyDescent="0.25">
      <c r="Q24" s="190" t="s">
        <v>141</v>
      </c>
      <c r="R24" s="196" t="s">
        <v>24</v>
      </c>
      <c r="S24" s="13"/>
      <c r="T24" s="13"/>
      <c r="U24" s="21"/>
      <c r="V24" s="88"/>
    </row>
    <row r="25" spans="2:29" ht="15.75" customHeight="1" thickBot="1" x14ac:dyDescent="0.3">
      <c r="Q25" s="205" t="s">
        <v>142</v>
      </c>
      <c r="R25" s="195" t="s">
        <v>146</v>
      </c>
      <c r="S25" s="13"/>
      <c r="T25" s="13"/>
      <c r="U25" s="21"/>
      <c r="V25" s="88"/>
    </row>
    <row r="26" spans="2:29" ht="15.75" customHeight="1" x14ac:dyDescent="0.35">
      <c r="Q26" s="191" t="s">
        <v>143</v>
      </c>
      <c r="R26" s="196" t="s">
        <v>140</v>
      </c>
      <c r="S26" s="21"/>
      <c r="T26" s="21"/>
      <c r="U26" s="21"/>
      <c r="V26" s="200"/>
      <c r="W26" s="197"/>
      <c r="X26" s="296" t="s">
        <v>154</v>
      </c>
      <c r="Y26" s="233"/>
      <c r="Z26" s="233"/>
      <c r="AA26" s="233"/>
      <c r="AB26" s="234"/>
      <c r="AC26" s="204"/>
    </row>
    <row r="27" spans="2:29" ht="15.75" customHeight="1" x14ac:dyDescent="0.25">
      <c r="M27" s="21"/>
      <c r="N27" s="21"/>
      <c r="O27" s="21"/>
      <c r="Q27" s="190" t="s">
        <v>144</v>
      </c>
      <c r="R27" s="196" t="s">
        <v>128</v>
      </c>
      <c r="S27" s="13"/>
      <c r="T27" s="13"/>
      <c r="U27" s="21"/>
      <c r="V27" s="201"/>
      <c r="W27" s="198"/>
      <c r="X27" s="235"/>
      <c r="Y27" s="236"/>
      <c r="Z27" s="236"/>
      <c r="AA27" s="236"/>
      <c r="AB27" s="237"/>
      <c r="AC27" s="204"/>
    </row>
    <row r="28" spans="2:29" ht="15.75" customHeight="1" thickBot="1" x14ac:dyDescent="0.3">
      <c r="M28" s="133"/>
      <c r="N28" s="133"/>
      <c r="O28" s="133"/>
      <c r="Q28" s="193" t="s">
        <v>153</v>
      </c>
      <c r="R28" s="206" t="s">
        <v>47</v>
      </c>
      <c r="S28" s="22"/>
      <c r="T28" s="22"/>
      <c r="U28" s="202"/>
      <c r="V28" s="189"/>
      <c r="W28" s="203"/>
      <c r="X28" s="238"/>
      <c r="Y28" s="239"/>
      <c r="Z28" s="239"/>
      <c r="AA28" s="239"/>
      <c r="AB28" s="240"/>
      <c r="AC28" s="204"/>
    </row>
    <row r="29" spans="2:29" ht="15.75" customHeight="1" x14ac:dyDescent="0.25"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21"/>
      <c r="Y29" s="21"/>
      <c r="Z29" s="21"/>
    </row>
    <row r="30" spans="2:29" ht="15.75" customHeight="1" x14ac:dyDescent="0.25">
      <c r="M30" s="21"/>
      <c r="N30" s="21"/>
      <c r="O30" s="21"/>
      <c r="P30" s="21"/>
      <c r="Q30" s="21"/>
      <c r="R30" s="21"/>
      <c r="S30" s="21"/>
      <c r="T30" s="21"/>
      <c r="U30" s="21"/>
      <c r="V30" s="263"/>
      <c r="W30" s="263"/>
      <c r="X30" s="21"/>
      <c r="Y30" s="21"/>
      <c r="Z30" s="21"/>
    </row>
    <row r="31" spans="2:29" ht="15.75" customHeight="1" x14ac:dyDescent="0.25"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2:29" ht="15.75" customHeight="1" x14ac:dyDescent="0.25">
      <c r="H32" s="94"/>
      <c r="I32" s="94"/>
      <c r="J32" s="94"/>
      <c r="M32" s="21"/>
      <c r="N32" s="21"/>
      <c r="O32" s="94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8:32" ht="15.75" customHeight="1" x14ac:dyDescent="0.25">
      <c r="H33" s="94"/>
      <c r="I33" s="94"/>
      <c r="J33" s="94"/>
    </row>
    <row r="34" spans="8:32" ht="15.75" customHeight="1" x14ac:dyDescent="0.25">
      <c r="H34" s="94"/>
      <c r="I34" s="94"/>
      <c r="J34" s="94"/>
    </row>
    <row r="35" spans="8:32" x14ac:dyDescent="0.25">
      <c r="H35" s="94"/>
      <c r="I35" s="94"/>
      <c r="J35" s="94"/>
    </row>
    <row r="36" spans="8:32" x14ac:dyDescent="0.25">
      <c r="H36" s="94"/>
      <c r="I36" s="94"/>
      <c r="J36" s="94"/>
      <c r="Z36" s="223"/>
      <c r="AA36" s="223"/>
      <c r="AB36" s="223"/>
      <c r="AC36" s="223"/>
      <c r="AD36" s="223"/>
      <c r="AE36" s="223"/>
      <c r="AF36" s="223"/>
    </row>
    <row r="37" spans="8:32" x14ac:dyDescent="0.25">
      <c r="H37" s="94"/>
      <c r="I37" s="94"/>
      <c r="J37" s="94"/>
      <c r="Z37" s="223"/>
      <c r="AA37" s="223"/>
      <c r="AB37" s="223"/>
      <c r="AC37" s="223"/>
      <c r="AD37" s="223"/>
      <c r="AE37" s="223"/>
      <c r="AF37" s="223"/>
    </row>
    <row r="38" spans="8:32" x14ac:dyDescent="0.25">
      <c r="H38" s="94"/>
      <c r="I38" s="94"/>
      <c r="J38" s="94"/>
      <c r="K38" s="94"/>
      <c r="L38" s="94"/>
      <c r="M38" s="94"/>
      <c r="Z38" s="223"/>
      <c r="AA38" s="223"/>
      <c r="AB38" s="223"/>
      <c r="AC38" s="223"/>
      <c r="AD38" s="223"/>
      <c r="AE38" s="223"/>
      <c r="AF38" s="223"/>
    </row>
    <row r="39" spans="8:32" x14ac:dyDescent="0.25">
      <c r="H39" s="94"/>
      <c r="I39" s="94"/>
      <c r="J39" s="94"/>
      <c r="K39" s="94"/>
      <c r="L39" s="94"/>
      <c r="M39" s="94"/>
      <c r="Z39" s="223"/>
      <c r="AA39" s="223"/>
      <c r="AB39" s="223"/>
      <c r="AC39" s="223"/>
      <c r="AD39" s="223"/>
      <c r="AE39" s="223"/>
      <c r="AF39" s="223"/>
    </row>
    <row r="40" spans="8:32" x14ac:dyDescent="0.25">
      <c r="H40" s="94"/>
      <c r="I40" s="94"/>
      <c r="J40" s="94"/>
      <c r="K40" s="94"/>
      <c r="L40" s="94"/>
      <c r="M40" s="94"/>
      <c r="Z40" s="223"/>
      <c r="AA40" s="223"/>
      <c r="AB40" s="223"/>
      <c r="AC40" s="223"/>
      <c r="AD40" s="223"/>
      <c r="AE40" s="223"/>
      <c r="AF40" s="223"/>
    </row>
    <row r="41" spans="8:32" x14ac:dyDescent="0.25">
      <c r="H41" s="94"/>
      <c r="I41" s="94"/>
      <c r="J41" s="94"/>
      <c r="K41" s="94"/>
      <c r="L41" s="94"/>
      <c r="M41" s="94"/>
      <c r="N41" s="95"/>
      <c r="O41" s="95"/>
      <c r="Z41" s="223"/>
      <c r="AA41" s="223"/>
      <c r="AB41" s="223"/>
      <c r="AC41" s="223"/>
      <c r="AD41" s="223"/>
      <c r="AE41" s="223"/>
      <c r="AF41" s="223"/>
    </row>
    <row r="42" spans="8:32" ht="23.25" customHeight="1" x14ac:dyDescent="0.25">
      <c r="M42" s="94"/>
      <c r="Z42" s="223"/>
      <c r="AA42" s="223"/>
      <c r="AB42" s="223"/>
      <c r="AC42" s="223"/>
      <c r="AD42" s="223"/>
      <c r="AE42" s="223"/>
      <c r="AF42" s="223"/>
    </row>
    <row r="43" spans="8:32" x14ac:dyDescent="0.25">
      <c r="M43" s="94"/>
      <c r="Z43" s="223"/>
      <c r="AA43" s="223"/>
      <c r="AB43" s="223"/>
      <c r="AC43" s="223"/>
      <c r="AD43" s="223"/>
      <c r="AE43" s="223"/>
      <c r="AF43" s="223"/>
    </row>
    <row r="44" spans="8:32" x14ac:dyDescent="0.25">
      <c r="M44" s="94"/>
      <c r="Z44" s="223"/>
      <c r="AA44" s="223"/>
      <c r="AB44" s="223"/>
      <c r="AC44" s="223"/>
      <c r="AD44" s="223"/>
      <c r="AE44" s="223"/>
      <c r="AF44" s="223"/>
    </row>
    <row r="45" spans="8:32" x14ac:dyDescent="0.25">
      <c r="Z45" s="223"/>
      <c r="AA45" s="223"/>
      <c r="AB45" s="223"/>
      <c r="AC45" s="223"/>
      <c r="AD45" s="223"/>
      <c r="AE45" s="223"/>
      <c r="AF45" s="223"/>
    </row>
    <row r="46" spans="8:32" x14ac:dyDescent="0.25">
      <c r="Z46" s="223"/>
      <c r="AA46" s="223"/>
      <c r="AB46" s="223"/>
      <c r="AC46" s="223"/>
      <c r="AD46" s="223"/>
      <c r="AE46" s="223"/>
      <c r="AF46" s="223"/>
    </row>
    <row r="47" spans="8:32" ht="15.75" customHeight="1" x14ac:dyDescent="0.25">
      <c r="Z47" s="223"/>
      <c r="AA47" s="223"/>
      <c r="AB47" s="223"/>
      <c r="AC47" s="223"/>
      <c r="AD47" s="223"/>
      <c r="AE47" s="223"/>
      <c r="AF47" s="223"/>
    </row>
    <row r="49" spans="14:26" ht="20.25" customHeight="1" x14ac:dyDescent="0.25">
      <c r="N49" s="21"/>
      <c r="O49" s="21"/>
      <c r="P49" s="21"/>
      <c r="Q49" s="21"/>
      <c r="Z49" s="94"/>
    </row>
  </sheetData>
  <sheetProtection algorithmName="SHA-512" hashValue="hCT4tDXIyJgtNACD+yMsxnDaRX2q5r9YRPpQw+OwZL3M+221PhkemvaWRsHGQQMZb/ONEOtaEm2y9i53lOE6ig==" saltValue="F6pc/tooYsps3CA8jlyAyw==" spinCount="100000" sheet="1" selectLockedCells="1"/>
  <mergeCells count="21">
    <mergeCell ref="V4:AC4"/>
    <mergeCell ref="V13:AC13"/>
    <mergeCell ref="V14:AC14"/>
    <mergeCell ref="B2:AC2"/>
    <mergeCell ref="B4:E4"/>
    <mergeCell ref="H4:J4"/>
    <mergeCell ref="M4:T4"/>
    <mergeCell ref="G9:I9"/>
    <mergeCell ref="J9:K9"/>
    <mergeCell ref="G10:I11"/>
    <mergeCell ref="J10:K10"/>
    <mergeCell ref="J11:K11"/>
    <mergeCell ref="M13:T13"/>
    <mergeCell ref="B17:D17"/>
    <mergeCell ref="Z36:AF47"/>
    <mergeCell ref="G13:K16"/>
    <mergeCell ref="B19:D19"/>
    <mergeCell ref="V30:W30"/>
    <mergeCell ref="M14:T14"/>
    <mergeCell ref="G18:K20"/>
    <mergeCell ref="X26:AB28"/>
  </mergeCells>
  <dataValidations count="1">
    <dataValidation allowBlank="1" showInputMessage="1" sqref="B11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8" scale="81" orientation="landscape" r:id="rId1"/>
  <ignoredErrors>
    <ignoredError sqref="J7" evalError="1"/>
    <ignoredError sqref="D13:D16 D12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E856339E-451C-4368-82A0-836BC2775EB6}">
            <x14:iconSet iconSet="3Symbols2" custom="1">
              <x14:cfvo type="percent">
                <xm:f>0</xm:f>
              </x14:cfvo>
              <x14:cfvo type="formula">
                <xm:f>$J$7</xm:f>
              </x14:cfvo>
              <x14:cfvo type="formula">
                <xm:f>$J$7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S7:S10</xm:sqref>
        </x14:conditionalFormatting>
        <x14:conditionalFormatting xmlns:xm="http://schemas.microsoft.com/office/excel/2006/main">
          <x14:cfRule type="iconSet" priority="4" id="{C591E186-D128-437F-A5F1-D307D9894CCB}">
            <x14:iconSet iconSet="3Symbols2" custom="1">
              <x14:cfvo type="percent">
                <xm:f>0</xm:f>
              </x14:cfvo>
              <x14:cfvo type="num">
                <xm:f>48</xm:f>
              </x14:cfvo>
              <x14:cfvo type="num" gte="0">
                <xm:f>48</xm:f>
              </x14:cfvo>
              <x14:cfIcon iconSet="3Symbols2" iconId="2"/>
              <x14:cfIcon iconSet="NoIcons" iconId="0"/>
              <x14:cfIcon iconSet="3Symbols2" iconId="0"/>
            </x14:iconSet>
          </x14:cfRule>
          <xm:sqref>S16:S19</xm:sqref>
        </x14:conditionalFormatting>
        <x14:conditionalFormatting xmlns:xm="http://schemas.microsoft.com/office/excel/2006/main">
          <x14:cfRule type="iconSet" priority="3" id="{7D6DFD1A-1A70-4CA3-B058-CDB02A7CC7D8}">
            <x14:iconSet iconSet="3Symbols2" custom="1">
              <x14:cfvo type="percent">
                <xm:f>0</xm:f>
              </x14:cfvo>
              <x14:cfvo type="formula">
                <xm:f>$J$7</xm:f>
              </x14:cfvo>
              <x14:cfvo type="formula">
                <xm:f>$J$7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AB7:AB10</xm:sqref>
        </x14:conditionalFormatting>
        <x14:conditionalFormatting xmlns:xm="http://schemas.microsoft.com/office/excel/2006/main">
          <x14:cfRule type="iconSet" priority="1" id="{EE32EB82-ED31-45D0-9794-95D000C08818}">
            <x14:iconSet iconSet="3Symbols2" custom="1">
              <x14:cfvo type="percent">
                <xm:f>0</xm:f>
              </x14:cfvo>
              <x14:cfvo type="num">
                <xm:f>48</xm:f>
              </x14:cfvo>
              <x14:cfvo type="num" gte="0">
                <xm:f>48</xm:f>
              </x14:cfvo>
              <x14:cfIcon iconSet="3Symbols2" iconId="2"/>
              <x14:cfIcon iconSet="NoIcons" iconId="0"/>
              <x14:cfIcon iconSet="3Symbols2" iconId="0"/>
            </x14:iconSet>
          </x14:cfRule>
          <xm:sqref>AB16:AB19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DropDown="1" showInputMessage="1" showErrorMessage="1" xr:uid="{00000000-0002-0000-0000-000001000000}">
          <x14:formula1>
            <xm:f>Hoja3!$F$2:$F$5</xm:f>
          </x14:formula1>
          <xm:sqref>D7:D16</xm:sqref>
        </x14:dataValidation>
        <x14:dataValidation type="list" allowBlank="1" showInputMessage="1" showErrorMessage="1" xr:uid="{00000000-0002-0000-0000-000002000000}">
          <x14:formula1>
            <xm:f>Hoja3!$D$1:$D$6</xm:f>
          </x14:formula1>
          <xm:sqref>I6</xm:sqref>
        </x14:dataValidation>
        <x14:dataValidation type="list" allowBlank="1" showInputMessage="1" showErrorMessage="1" xr:uid="{00000000-0002-0000-0000-000003000000}">
          <x14:formula1>
            <xm:f>Hoja3!$M$2:$M$4</xm:f>
          </x14:formula1>
          <xm:sqref>T7:T10</xm:sqref>
        </x14:dataValidation>
        <x14:dataValidation type="list" allowBlank="1" showInputMessage="1" showErrorMessage="1" xr:uid="{00000000-0002-0000-0000-000004000000}">
          <x14:formula1>
            <xm:f>Hoja3!$J$2:$J$7</xm:f>
          </x14:formula1>
          <xm:sqref>C7:C16</xm:sqref>
        </x14:dataValidation>
        <x14:dataValidation type="list" allowBlank="1" showInputMessage="1" showErrorMessage="1" xr:uid="{75B36A4C-1F59-4199-8D0D-12C5D57EC570}">
          <x14:formula1>
            <xm:f>Hoja3!$M$2:$M$11</xm:f>
          </x14:formula1>
          <xm:sqref>AC8:AC10</xm:sqref>
        </x14:dataValidation>
        <x14:dataValidation type="list" allowBlank="1" showInputMessage="1" showErrorMessage="1" xr:uid="{941379FF-6190-4EEE-8DC1-53F2685BA772}">
          <x14:formula1>
            <xm:f>Hoja3!$M$2:$M$12</xm:f>
          </x14:formula1>
          <xm:sqref>AC7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31"/>
  <sheetViews>
    <sheetView showGridLines="0" workbookViewId="0">
      <selection activeCell="L31" sqref="L31"/>
    </sheetView>
  </sheetViews>
  <sheetFormatPr baseColWidth="10" defaultColWidth="11.42578125" defaultRowHeight="15" x14ac:dyDescent="0.25"/>
  <cols>
    <col min="1" max="1" width="3.42578125" style="1" customWidth="1"/>
    <col min="2" max="2" width="12.85546875" style="1" customWidth="1"/>
    <col min="3" max="3" width="14.28515625" style="1" customWidth="1"/>
    <col min="4" max="10" width="11.42578125" style="1"/>
    <col min="11" max="11" width="15.7109375" style="1" customWidth="1"/>
    <col min="12" max="12" width="18" style="1" customWidth="1"/>
    <col min="13" max="13" width="12.7109375" style="1" customWidth="1"/>
    <col min="14" max="16384" width="11.42578125" style="1"/>
  </cols>
  <sheetData>
    <row r="1" spans="2:13" ht="15.75" thickBot="1" x14ac:dyDescent="0.3">
      <c r="B1" s="3"/>
      <c r="C1" s="3"/>
      <c r="D1" s="3"/>
      <c r="E1" s="3"/>
      <c r="F1" s="3"/>
      <c r="G1" s="3"/>
      <c r="H1" s="3"/>
      <c r="I1" s="3"/>
      <c r="J1" s="3"/>
    </row>
    <row r="2" spans="2:13" ht="15.75" thickBot="1" x14ac:dyDescent="0.3">
      <c r="B2" s="299" t="s">
        <v>21</v>
      </c>
      <c r="C2" s="302"/>
      <c r="D2" s="302"/>
      <c r="E2" s="302"/>
      <c r="F2" s="302"/>
      <c r="G2" s="302"/>
      <c r="H2" s="303"/>
      <c r="I2" s="3"/>
      <c r="J2" s="3"/>
      <c r="K2" s="299" t="s">
        <v>22</v>
      </c>
      <c r="L2" s="300"/>
      <c r="M2" s="301"/>
    </row>
    <row r="3" spans="2:13" ht="36" customHeight="1" thickBot="1" x14ac:dyDescent="0.3">
      <c r="B3" s="3"/>
      <c r="C3" s="3"/>
      <c r="D3" s="3"/>
      <c r="E3" s="3"/>
      <c r="F3" s="3"/>
      <c r="G3" s="3"/>
      <c r="H3" s="3"/>
      <c r="I3" s="3"/>
      <c r="J3" s="3"/>
      <c r="K3" s="60" t="s">
        <v>90</v>
      </c>
      <c r="L3" s="60" t="s">
        <v>32</v>
      </c>
      <c r="M3" s="60" t="s">
        <v>73</v>
      </c>
    </row>
    <row r="4" spans="2:13" ht="15.75" thickBot="1" x14ac:dyDescent="0.3">
      <c r="B4" s="23" t="s">
        <v>16</v>
      </c>
      <c r="C4" s="20"/>
      <c r="D4" s="67">
        <v>400</v>
      </c>
      <c r="E4" s="20"/>
      <c r="F4" s="20" t="s">
        <v>79</v>
      </c>
      <c r="G4" s="20"/>
      <c r="H4" s="64">
        <f>MAX(H12:H31)</f>
        <v>3.8584440656706147</v>
      </c>
      <c r="K4" s="61">
        <v>133.30000000000001</v>
      </c>
      <c r="L4" s="62">
        <f>'CALCULO DEPOSITOS DE CAJAS'!E17/10000</f>
        <v>0</v>
      </c>
      <c r="M4" s="63">
        <f>PRODUCT(K4/1000,L4)</f>
        <v>0</v>
      </c>
    </row>
    <row r="5" spans="2:13" x14ac:dyDescent="0.25">
      <c r="B5" s="24" t="s">
        <v>84</v>
      </c>
      <c r="C5" s="21"/>
      <c r="D5" s="68" t="s">
        <v>50</v>
      </c>
      <c r="E5" s="21"/>
      <c r="F5" s="21"/>
      <c r="G5" s="21"/>
      <c r="H5" s="65"/>
      <c r="K5" s="28"/>
      <c r="L5" s="29"/>
      <c r="M5" s="30"/>
    </row>
    <row r="6" spans="2:13" ht="17.25" x14ac:dyDescent="0.25">
      <c r="B6" s="24" t="s">
        <v>17</v>
      </c>
      <c r="C6" s="21"/>
      <c r="D6" s="69">
        <f>VLOOKUP(D5,Hoja3!A3:B7,2,0)</f>
        <v>8.9999999999999993E-3</v>
      </c>
      <c r="E6" s="21"/>
      <c r="F6" s="21" t="s">
        <v>80</v>
      </c>
      <c r="G6" s="21"/>
      <c r="H6" s="65">
        <f>MAX(I12:I31)</f>
        <v>0.45711764501080104</v>
      </c>
    </row>
    <row r="7" spans="2:13" ht="17.25" x14ac:dyDescent="0.25">
      <c r="B7" s="24" t="s">
        <v>83</v>
      </c>
      <c r="C7" s="21"/>
      <c r="D7" s="70">
        <v>0.02</v>
      </c>
      <c r="E7" s="21"/>
      <c r="F7" s="21" t="s">
        <v>81</v>
      </c>
      <c r="G7" s="21"/>
      <c r="H7" s="65">
        <f>$I$26</f>
        <v>0.38792902445853183</v>
      </c>
    </row>
    <row r="8" spans="2:13" ht="18" thickBot="1" x14ac:dyDescent="0.3">
      <c r="B8" s="25" t="s">
        <v>18</v>
      </c>
      <c r="C8" s="22"/>
      <c r="D8" s="71">
        <f>MIN(H12:H31)</f>
        <v>0.86967583589528252</v>
      </c>
      <c r="E8" s="22"/>
      <c r="F8" s="22" t="s">
        <v>82</v>
      </c>
      <c r="G8" s="22"/>
      <c r="H8" s="66">
        <f>$I$31</f>
        <v>0.42541782780974086</v>
      </c>
    </row>
    <row r="9" spans="2:13" ht="15.75" thickBot="1" x14ac:dyDescent="0.3"/>
    <row r="10" spans="2:13" ht="18.75" thickBot="1" x14ac:dyDescent="0.3">
      <c r="B10" s="2" t="s">
        <v>89</v>
      </c>
      <c r="C10" s="2" t="s">
        <v>19</v>
      </c>
      <c r="D10" s="2" t="s">
        <v>20</v>
      </c>
      <c r="E10" s="2" t="s">
        <v>88</v>
      </c>
      <c r="F10" s="2" t="s">
        <v>23</v>
      </c>
      <c r="G10" s="2" t="s">
        <v>86</v>
      </c>
      <c r="H10" s="2" t="s">
        <v>85</v>
      </c>
      <c r="I10" s="2" t="s">
        <v>87</v>
      </c>
    </row>
    <row r="11" spans="2:13" x14ac:dyDescent="0.25">
      <c r="B11" s="72">
        <f>0*D4</f>
        <v>0</v>
      </c>
      <c r="C11" s="73">
        <f t="shared" ref="C11:C26" si="0">B11/$D$4</f>
        <v>0</v>
      </c>
      <c r="D11" s="73">
        <f t="shared" ref="D11:D26" si="1">2*ACOS(($D$4/2-B11)/($D$4/2))</f>
        <v>0</v>
      </c>
      <c r="E11" s="73">
        <f t="shared" ref="E11:E26" si="2">(D11*$D$4^2/8-$D$4/2*($D$4/2-B11)*SIN(D11/2))/1000000</f>
        <v>0</v>
      </c>
      <c r="F11" s="73">
        <f t="shared" ref="F11:F26" si="3">D11*$D$4/2/1000</f>
        <v>0</v>
      </c>
      <c r="G11" s="73">
        <v>0</v>
      </c>
      <c r="H11" s="73">
        <f t="shared" ref="H11:H26" si="4">G11^(2/3)*$D$7^0.5/$D$6</f>
        <v>0</v>
      </c>
      <c r="I11" s="74">
        <f t="shared" ref="I11:I26" si="5">E11*H11</f>
        <v>0</v>
      </c>
    </row>
    <row r="12" spans="2:13" x14ac:dyDescent="0.25">
      <c r="B12" s="75">
        <f>0.05*D4</f>
        <v>20</v>
      </c>
      <c r="C12" s="76">
        <f t="shared" si="0"/>
        <v>0.05</v>
      </c>
      <c r="D12" s="77">
        <f t="shared" si="1"/>
        <v>0.90205362359252472</v>
      </c>
      <c r="E12" s="77">
        <f t="shared" si="2"/>
        <v>2.349036275104072E-3</v>
      </c>
      <c r="F12" s="77">
        <f t="shared" si="3"/>
        <v>0.18041072471850494</v>
      </c>
      <c r="G12" s="77">
        <f t="shared" ref="G12:G27" si="6">E12/F12</f>
        <v>1.3020491319289781E-2</v>
      </c>
      <c r="H12" s="77">
        <f t="shared" si="4"/>
        <v>0.86967583589528252</v>
      </c>
      <c r="I12" s="78">
        <f t="shared" si="5"/>
        <v>2.0429000860994746E-3</v>
      </c>
    </row>
    <row r="13" spans="2:13" x14ac:dyDescent="0.25">
      <c r="B13" s="75">
        <f>0.1*D4</f>
        <v>40</v>
      </c>
      <c r="C13" s="76">
        <f t="shared" si="0"/>
        <v>0.1</v>
      </c>
      <c r="D13" s="77">
        <f t="shared" si="1"/>
        <v>1.2870022175865685</v>
      </c>
      <c r="E13" s="77">
        <f t="shared" si="2"/>
        <v>6.5400443517313724E-3</v>
      </c>
      <c r="F13" s="77">
        <f t="shared" si="3"/>
        <v>0.25740044351731373</v>
      </c>
      <c r="G13" s="77">
        <f t="shared" si="6"/>
        <v>2.5408053934807863E-2</v>
      </c>
      <c r="H13" s="77">
        <f t="shared" si="4"/>
        <v>1.3580635409687742</v>
      </c>
      <c r="I13" s="78">
        <f t="shared" si="5"/>
        <v>8.8817957904051385E-3</v>
      </c>
    </row>
    <row r="14" spans="2:13" x14ac:dyDescent="0.25">
      <c r="B14" s="75">
        <f>0.15*D4</f>
        <v>60</v>
      </c>
      <c r="C14" s="76">
        <f t="shared" si="0"/>
        <v>0.15</v>
      </c>
      <c r="D14" s="77">
        <f t="shared" si="1"/>
        <v>1.590797660368287</v>
      </c>
      <c r="E14" s="77">
        <f t="shared" si="2"/>
        <v>1.1819953607445761E-2</v>
      </c>
      <c r="F14" s="77">
        <f t="shared" si="3"/>
        <v>0.31815953207365738</v>
      </c>
      <c r="G14" s="77">
        <f t="shared" si="6"/>
        <v>3.7151027757701488E-2</v>
      </c>
      <c r="H14" s="77">
        <f t="shared" si="4"/>
        <v>1.7495232172294353</v>
      </c>
      <c r="I14" s="78">
        <f t="shared" si="5"/>
        <v>2.0679283262801176E-2</v>
      </c>
    </row>
    <row r="15" spans="2:13" x14ac:dyDescent="0.25">
      <c r="B15" s="75">
        <f>0.2*D4</f>
        <v>80</v>
      </c>
      <c r="C15" s="76">
        <f t="shared" si="0"/>
        <v>0.2</v>
      </c>
      <c r="D15" s="77">
        <f t="shared" si="1"/>
        <v>1.8545904360032244</v>
      </c>
      <c r="E15" s="77">
        <f t="shared" si="2"/>
        <v>1.7891808720064489E-2</v>
      </c>
      <c r="F15" s="77">
        <f t="shared" si="3"/>
        <v>0.3709180872006449</v>
      </c>
      <c r="G15" s="77">
        <f t="shared" si="6"/>
        <v>4.823654962500136E-2</v>
      </c>
      <c r="H15" s="77">
        <f t="shared" si="4"/>
        <v>2.0822041692656947</v>
      </c>
      <c r="I15" s="78">
        <f t="shared" si="5"/>
        <v>3.7254398712622594E-2</v>
      </c>
    </row>
    <row r="16" spans="2:13" x14ac:dyDescent="0.25">
      <c r="B16" s="75">
        <f>0.25*D4</f>
        <v>100</v>
      </c>
      <c r="C16" s="76">
        <f t="shared" si="0"/>
        <v>0.25</v>
      </c>
      <c r="D16" s="77">
        <f t="shared" si="1"/>
        <v>2.0943951023931953</v>
      </c>
      <c r="E16" s="77">
        <f t="shared" si="2"/>
        <v>2.4567393972175135E-2</v>
      </c>
      <c r="F16" s="77">
        <f t="shared" si="3"/>
        <v>0.41887902047863906</v>
      </c>
      <c r="G16" s="77">
        <f t="shared" si="6"/>
        <v>5.8650332843365599E-2</v>
      </c>
      <c r="H16" s="77">
        <f t="shared" si="4"/>
        <v>2.3720261678498678</v>
      </c>
      <c r="I16" s="78">
        <f t="shared" si="5"/>
        <v>5.8274501377876528E-2</v>
      </c>
    </row>
    <row r="17" spans="2:9" x14ac:dyDescent="0.25">
      <c r="B17" s="75">
        <f>0.3*D4</f>
        <v>120</v>
      </c>
      <c r="C17" s="76">
        <f t="shared" si="0"/>
        <v>0.3</v>
      </c>
      <c r="D17" s="77">
        <f t="shared" si="1"/>
        <v>2.318558961454817</v>
      </c>
      <c r="E17" s="77">
        <f t="shared" si="2"/>
        <v>3.1706937005237655E-2</v>
      </c>
      <c r="F17" s="77">
        <f t="shared" si="3"/>
        <v>0.46371179229096338</v>
      </c>
      <c r="G17" s="77">
        <f t="shared" si="6"/>
        <v>6.8376387084291848E-2</v>
      </c>
      <c r="H17" s="77">
        <f t="shared" si="4"/>
        <v>2.6275032068189352</v>
      </c>
      <c r="I17" s="78">
        <f t="shared" si="5"/>
        <v>8.3310078659667899E-2</v>
      </c>
    </row>
    <row r="18" spans="2:9" x14ac:dyDescent="0.25">
      <c r="B18" s="75">
        <f>0.35*D4</f>
        <v>140</v>
      </c>
      <c r="C18" s="76">
        <f t="shared" si="0"/>
        <v>0.35</v>
      </c>
      <c r="D18" s="77">
        <f t="shared" si="1"/>
        <v>2.532207345558998</v>
      </c>
      <c r="E18" s="77">
        <f t="shared" si="2"/>
        <v>3.9196876494176615E-2</v>
      </c>
      <c r="F18" s="77">
        <f t="shared" si="3"/>
        <v>0.50644146911179966</v>
      </c>
      <c r="G18" s="77">
        <f t="shared" si="6"/>
        <v>7.7396656642119671E-2</v>
      </c>
      <c r="H18" s="77">
        <f t="shared" si="4"/>
        <v>2.8537808681291725</v>
      </c>
      <c r="I18" s="78">
        <f t="shared" si="5"/>
        <v>0.1118592962295033</v>
      </c>
    </row>
    <row r="19" spans="2:9" x14ac:dyDescent="0.25">
      <c r="B19" s="75">
        <f>0.4*D4</f>
        <v>160</v>
      </c>
      <c r="C19" s="76">
        <f t="shared" si="0"/>
        <v>0.4</v>
      </c>
      <c r="D19" s="77">
        <f t="shared" si="1"/>
        <v>2.7388768120091314</v>
      </c>
      <c r="E19" s="77">
        <f t="shared" si="2"/>
        <v>4.6939169063276456E-2</v>
      </c>
      <c r="F19" s="77">
        <f t="shared" si="3"/>
        <v>0.54777536240182623</v>
      </c>
      <c r="G19" s="77">
        <f t="shared" si="6"/>
        <v>8.5690544491564311E-2</v>
      </c>
      <c r="H19" s="77">
        <f t="shared" si="4"/>
        <v>3.0541785544459721</v>
      </c>
      <c r="I19" s="78">
        <f t="shared" si="5"/>
        <v>0.14336060351657279</v>
      </c>
    </row>
    <row r="20" spans="2:9" x14ac:dyDescent="0.25">
      <c r="B20" s="75">
        <f>0.45*D4</f>
        <v>180</v>
      </c>
      <c r="C20" s="76">
        <f t="shared" si="0"/>
        <v>0.45</v>
      </c>
      <c r="D20" s="77">
        <f t="shared" si="1"/>
        <v>2.9412578112666736</v>
      </c>
      <c r="E20" s="77">
        <f t="shared" si="2"/>
        <v>5.4845206476906994E-2</v>
      </c>
      <c r="F20" s="77">
        <f t="shared" si="3"/>
        <v>0.58825156225333464</v>
      </c>
      <c r="G20" s="77">
        <f t="shared" si="6"/>
        <v>9.3234272539488003E-2</v>
      </c>
      <c r="H20" s="77">
        <f t="shared" si="4"/>
        <v>3.2308952620637283</v>
      </c>
      <c r="I20" s="78">
        <f t="shared" si="5"/>
        <v>0.1771991177531457</v>
      </c>
    </row>
    <row r="21" spans="2:9" x14ac:dyDescent="0.25">
      <c r="B21" s="75">
        <f>0.5*D4</f>
        <v>200</v>
      </c>
      <c r="C21" s="76">
        <f t="shared" si="0"/>
        <v>0.5</v>
      </c>
      <c r="D21" s="77">
        <f t="shared" si="1"/>
        <v>3.1415926535897931</v>
      </c>
      <c r="E21" s="77">
        <f t="shared" si="2"/>
        <v>6.2831853071795868E-2</v>
      </c>
      <c r="F21" s="77">
        <f t="shared" si="3"/>
        <v>0.62831853071795862</v>
      </c>
      <c r="G21" s="77">
        <f t="shared" si="6"/>
        <v>0.1</v>
      </c>
      <c r="H21" s="77">
        <f t="shared" si="4"/>
        <v>3.3853675087668518</v>
      </c>
      <c r="I21" s="78">
        <f t="shared" si="5"/>
        <v>0.21270891390487043</v>
      </c>
    </row>
    <row r="22" spans="2:9" x14ac:dyDescent="0.25">
      <c r="B22" s="75">
        <f>0.55*D4</f>
        <v>220.00000000000003</v>
      </c>
      <c r="C22" s="76">
        <f t="shared" si="0"/>
        <v>0.55000000000000004</v>
      </c>
      <c r="D22" s="77">
        <f t="shared" si="1"/>
        <v>3.341927495912913</v>
      </c>
      <c r="E22" s="77">
        <f t="shared" si="2"/>
        <v>7.0818499666684742E-2</v>
      </c>
      <c r="F22" s="77">
        <f t="shared" si="3"/>
        <v>0.66838549918258261</v>
      </c>
      <c r="G22" s="77">
        <f t="shared" si="6"/>
        <v>0.10595457225402684</v>
      </c>
      <c r="H22" s="77">
        <f t="shared" si="4"/>
        <v>3.5184573428796218</v>
      </c>
      <c r="I22" s="78">
        <f t="shared" si="5"/>
        <v>0.24917187016396497</v>
      </c>
    </row>
    <row r="23" spans="2:9" x14ac:dyDescent="0.25">
      <c r="B23" s="75">
        <f>0.6*D4</f>
        <v>240</v>
      </c>
      <c r="C23" s="76">
        <f t="shared" si="0"/>
        <v>0.6</v>
      </c>
      <c r="D23" s="77">
        <f t="shared" si="1"/>
        <v>3.5443084951704549</v>
      </c>
      <c r="E23" s="77">
        <f t="shared" si="2"/>
        <v>7.8724537080315266E-2</v>
      </c>
      <c r="F23" s="77">
        <f t="shared" si="3"/>
        <v>0.70886169903409102</v>
      </c>
      <c r="G23" s="77">
        <f t="shared" si="6"/>
        <v>0.11105768189702854</v>
      </c>
      <c r="H23" s="77">
        <f t="shared" si="4"/>
        <v>3.6305427741395748</v>
      </c>
      <c r="I23" s="78">
        <f t="shared" si="5"/>
        <v>0.2858127992444216</v>
      </c>
    </row>
    <row r="24" spans="2:9" x14ac:dyDescent="0.25">
      <c r="B24" s="75">
        <f>0.65*D4</f>
        <v>260</v>
      </c>
      <c r="C24" s="76">
        <f t="shared" si="0"/>
        <v>0.65</v>
      </c>
      <c r="D24" s="77">
        <f t="shared" si="1"/>
        <v>3.7509779616205883</v>
      </c>
      <c r="E24" s="77">
        <f t="shared" si="2"/>
        <v>8.6466829649415114E-2</v>
      </c>
      <c r="F24" s="77">
        <f t="shared" si="3"/>
        <v>0.7501955923241177</v>
      </c>
      <c r="G24" s="77">
        <f t="shared" si="6"/>
        <v>0.11525904781916876</v>
      </c>
      <c r="H24" s="77">
        <f t="shared" si="4"/>
        <v>3.7215384185015767</v>
      </c>
      <c r="I24" s="78">
        <f t="shared" si="5"/>
        <v>0.32178962846632958</v>
      </c>
    </row>
    <row r="25" spans="2:9" x14ac:dyDescent="0.25">
      <c r="B25" s="75">
        <f>0.7*D4</f>
        <v>280</v>
      </c>
      <c r="C25" s="76">
        <f t="shared" si="0"/>
        <v>0.7</v>
      </c>
      <c r="D25" s="77">
        <f t="shared" si="1"/>
        <v>3.9646263457247692</v>
      </c>
      <c r="E25" s="77">
        <f t="shared" si="2"/>
        <v>9.395676913835406E-2</v>
      </c>
      <c r="F25" s="77">
        <f t="shared" si="3"/>
        <v>0.79292526914495387</v>
      </c>
      <c r="G25" s="77">
        <f t="shared" si="6"/>
        <v>0.11849385155762758</v>
      </c>
      <c r="H25" s="77">
        <f t="shared" si="4"/>
        <v>3.7908479542625066</v>
      </c>
      <c r="I25" s="78">
        <f t="shared" si="5"/>
        <v>0.35617582607724413</v>
      </c>
    </row>
    <row r="26" spans="2:9" x14ac:dyDescent="0.25">
      <c r="B26" s="79">
        <f>0.75*D4</f>
        <v>300</v>
      </c>
      <c r="C26" s="80">
        <f t="shared" si="0"/>
        <v>0.75</v>
      </c>
      <c r="D26" s="81">
        <f t="shared" si="1"/>
        <v>4.1887902047863914</v>
      </c>
      <c r="E26" s="81">
        <f t="shared" si="2"/>
        <v>0.1010963121714166</v>
      </c>
      <c r="F26" s="81">
        <f t="shared" si="3"/>
        <v>0.83775804095727824</v>
      </c>
      <c r="G26" s="81">
        <f t="shared" si="6"/>
        <v>0.12067483357831719</v>
      </c>
      <c r="H26" s="81">
        <f t="shared" si="4"/>
        <v>3.8372223093634537</v>
      </c>
      <c r="I26" s="82">
        <f t="shared" si="5"/>
        <v>0.38792902445853183</v>
      </c>
    </row>
    <row r="27" spans="2:9" x14ac:dyDescent="0.25">
      <c r="B27" s="75">
        <f>0.8*D4</f>
        <v>320</v>
      </c>
      <c r="C27" s="76">
        <f>B27/$D$4</f>
        <v>0.8</v>
      </c>
      <c r="D27" s="77">
        <f>2*ACOS(($D$4/2-B27)/($D$4/2))</f>
        <v>4.4285948711763616</v>
      </c>
      <c r="E27" s="77">
        <f>(D27*$D$4^2/8-$D$4/2*($D$4/2-B27)*SIN(D27/2))/1000000</f>
        <v>0.10777189742352723</v>
      </c>
      <c r="F27" s="77">
        <f>D27*$D$4/2/1000</f>
        <v>0.88571897423527235</v>
      </c>
      <c r="G27" s="77">
        <f t="shared" si="6"/>
        <v>0.12167730460621241</v>
      </c>
      <c r="H27" s="77">
        <f>G27^(2/3)*$D$7^0.5/$D$6</f>
        <v>3.8584440656706147</v>
      </c>
      <c r="I27" s="78">
        <f>E27*H27</f>
        <v>0.41583183805987084</v>
      </c>
    </row>
    <row r="28" spans="2:9" x14ac:dyDescent="0.25">
      <c r="B28" s="75">
        <f>0.85*D4</f>
        <v>340</v>
      </c>
      <c r="C28" s="76">
        <f>B28/$D$4</f>
        <v>0.85</v>
      </c>
      <c r="D28" s="77">
        <f>2*ACOS(($D$4/2-B28)/($D$4/2))</f>
        <v>4.6923876468112997</v>
      </c>
      <c r="E28" s="77">
        <f>(D28*$D$4^2/8-$D$4/2*($D$4/2-B28)*SIN(D28/2))/1000000</f>
        <v>0.11384375253614597</v>
      </c>
      <c r="F28" s="77">
        <f>D28*$D$4/2/1000</f>
        <v>0.93847752936225992</v>
      </c>
      <c r="G28" s="77">
        <f>E28/F28</f>
        <v>0.12130684963070795</v>
      </c>
      <c r="H28" s="77">
        <f>G28^(2/3)*$D$7^0.5/$D$6</f>
        <v>3.8506085530016727</v>
      </c>
      <c r="I28" s="78">
        <f>E28*H28</f>
        <v>0.43836772722148953</v>
      </c>
    </row>
    <row r="29" spans="2:9" x14ac:dyDescent="0.25">
      <c r="B29" s="75">
        <f>0.9*D4</f>
        <v>360</v>
      </c>
      <c r="C29" s="76">
        <f>B29/$D$4</f>
        <v>0.9</v>
      </c>
      <c r="D29" s="77">
        <f>2*ACOS(($D$4/2-B29)/($D$4/2))</f>
        <v>4.9961830895930177</v>
      </c>
      <c r="E29" s="77">
        <f>(D29*$D$4^2/8-$D$4/2*($D$4/2-B29)*SIN(D29/2))/1000000</f>
        <v>0.11912366179186036</v>
      </c>
      <c r="F29" s="77">
        <f>D29*$D$4/2/1000</f>
        <v>0.99923661791860352</v>
      </c>
      <c r="G29" s="77">
        <f>E29/F29</f>
        <v>0.11921466813335299</v>
      </c>
      <c r="H29" s="77">
        <f>G29^(2/3)*$D$7^0.5/$D$6</f>
        <v>3.8062059557816896</v>
      </c>
      <c r="I29" s="78">
        <f>E29*H29</f>
        <v>0.45340919098670263</v>
      </c>
    </row>
    <row r="30" spans="2:9" x14ac:dyDescent="0.25">
      <c r="B30" s="75">
        <f>0.95*D4</f>
        <v>380</v>
      </c>
      <c r="C30" s="76">
        <f>B30/$D$4</f>
        <v>0.95</v>
      </c>
      <c r="D30" s="77">
        <f>2*ACOS(($D$4/2-B30)/($D$4/2))</f>
        <v>5.3811316835870606</v>
      </c>
      <c r="E30" s="77">
        <f>(D30*$D$4^2/8-$D$4/2*($D$4/2-B30)*SIN(D30/2))/1000000</f>
        <v>0.12331466986848766</v>
      </c>
      <c r="F30" s="77">
        <f>D30*$D$4/2/1000</f>
        <v>1.0762263367174121</v>
      </c>
      <c r="G30" s="77">
        <f>E30/F30</f>
        <v>0.1145806097299278</v>
      </c>
      <c r="H30" s="77">
        <f>G30^(2/3)*$D$7^0.5/$D$6</f>
        <v>3.7069202350239983</v>
      </c>
      <c r="I30" s="78">
        <f>E30*H30</f>
        <v>0.45711764501080104</v>
      </c>
    </row>
    <row r="31" spans="2:9" ht="15.75" thickBot="1" x14ac:dyDescent="0.3">
      <c r="B31" s="83">
        <f>1*D4</f>
        <v>400</v>
      </c>
      <c r="C31" s="84">
        <f>B31/$D$4</f>
        <v>1</v>
      </c>
      <c r="D31" s="85">
        <f>2*ACOS(($D$4/2-B31)/($D$4/2))</f>
        <v>6.2831853071795862</v>
      </c>
      <c r="E31" s="85">
        <f>(D31*$D$4^2/8-$D$4/2*($D$4/2-B31)*SIN(D31/2))/1000000</f>
        <v>0.12566370614359174</v>
      </c>
      <c r="F31" s="85">
        <f>D31*$D$4/2/1000</f>
        <v>1.2566370614359172</v>
      </c>
      <c r="G31" s="85">
        <f>E31/F31</f>
        <v>0.1</v>
      </c>
      <c r="H31" s="85">
        <f>G31^(2/3)*$D$7^0.5/$D$6</f>
        <v>3.3853675087668518</v>
      </c>
      <c r="I31" s="86">
        <f>E31*H31</f>
        <v>0.42541782780974086</v>
      </c>
    </row>
  </sheetData>
  <sheetProtection algorithmName="SHA-512" hashValue="S9WGQzlpni3NOaafZCWGxAi0xWFF16p9pWA2SiTOpRAZaObs3qMlF9mBEIrYVjS7jpWXdZj2S+EYt6ZzK/ZukA==" saltValue="yuRkeEdHS0Pm2rOu3hyy9g==" spinCount="100000" sheet="1" objects="1" scenarios="1" selectLockedCells="1"/>
  <mergeCells count="2">
    <mergeCell ref="K2:M2"/>
    <mergeCell ref="B2:H2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9A41EA3-4AC7-4BDC-94BC-0AD37691D12A}">
            <x14:iconSet iconSet="3Symbols2" custom="1">
              <x14:cfvo type="percent">
                <xm:f>0</xm:f>
              </x14:cfvo>
              <x14:cfvo type="num">
                <xm:f>$I$26</xm:f>
              </x14:cfvo>
              <x14:cfvo type="formula" gte="0">
                <xm:f>$I$26</xm:f>
              </x14:cfvo>
              <x14:cfIcon iconSet="3Symbols2" iconId="2"/>
              <x14:cfIcon iconSet="NoIcons" iconId="0"/>
              <x14:cfIcon iconSet="3Symbols2" iconId="0"/>
            </x14:iconSet>
          </x14:cfRule>
          <xm:sqref>M4:M5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Hoja3!$C$2:$C$14</xm:f>
          </x14:formula1>
          <xm:sqref>D7</xm:sqref>
        </x14:dataValidation>
        <x14:dataValidation type="list" allowBlank="1" showInputMessage="1" showErrorMessage="1" xr:uid="{00000000-0002-0000-0300-000001000000}">
          <x14:formula1>
            <xm:f>Hoja3!$G$2:$G$5</xm:f>
          </x14:formula1>
          <xm:sqref>D4</xm:sqref>
        </x14:dataValidation>
        <x14:dataValidation type="list" allowBlank="1" showInputMessage="1" showErrorMessage="1" xr:uid="{00000000-0002-0000-0300-000002000000}">
          <x14:formula1>
            <xm:f>Hoja3!$A$3:$A$7</xm:f>
          </x14:formula1>
          <xm:sqref>D5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8:N47"/>
  <sheetViews>
    <sheetView showGridLines="0" zoomScale="70" zoomScaleNormal="70" workbookViewId="0">
      <selection activeCell="O17" sqref="O17"/>
    </sheetView>
  </sheetViews>
  <sheetFormatPr baseColWidth="10" defaultRowHeight="15" x14ac:dyDescent="0.25"/>
  <sheetData>
    <row r="8" spans="12:13" ht="42" x14ac:dyDescent="0.75">
      <c r="L8" s="102" t="s">
        <v>108</v>
      </c>
    </row>
    <row r="13" spans="12:13" ht="19.5" customHeight="1" x14ac:dyDescent="0.25">
      <c r="M13" s="304" t="s">
        <v>103</v>
      </c>
    </row>
    <row r="14" spans="12:13" x14ac:dyDescent="0.25">
      <c r="M14" s="304"/>
    </row>
    <row r="24" spans="3:14" x14ac:dyDescent="0.25">
      <c r="N24" s="305"/>
    </row>
    <row r="25" spans="3:14" x14ac:dyDescent="0.25">
      <c r="N25" s="305"/>
    </row>
    <row r="26" spans="3:14" ht="36" x14ac:dyDescent="0.55000000000000004">
      <c r="C26" s="307" t="s">
        <v>105</v>
      </c>
      <c r="D26" s="307"/>
      <c r="N26" s="306" t="s">
        <v>107</v>
      </c>
    </row>
    <row r="27" spans="3:14" x14ac:dyDescent="0.25">
      <c r="N27" s="306"/>
    </row>
    <row r="28" spans="3:14" x14ac:dyDescent="0.25">
      <c r="M28" s="304" t="s">
        <v>104</v>
      </c>
    </row>
    <row r="29" spans="3:14" x14ac:dyDescent="0.25">
      <c r="M29" s="304"/>
    </row>
    <row r="47" spans="8:8" ht="54" x14ac:dyDescent="0.25">
      <c r="H47" s="101" t="s">
        <v>106</v>
      </c>
    </row>
  </sheetData>
  <mergeCells count="5">
    <mergeCell ref="M13:M14"/>
    <mergeCell ref="M28:M29"/>
    <mergeCell ref="N24:N25"/>
    <mergeCell ref="N26:N27"/>
    <mergeCell ref="C26:D2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8:N47"/>
  <sheetViews>
    <sheetView showGridLines="0" topLeftCell="A47" zoomScale="70" zoomScaleNormal="70" workbookViewId="0">
      <selection activeCell="R22" sqref="R22"/>
    </sheetView>
  </sheetViews>
  <sheetFormatPr baseColWidth="10" defaultRowHeight="15" x14ac:dyDescent="0.25"/>
  <sheetData>
    <row r="8" spans="12:13" ht="42" x14ac:dyDescent="0.75">
      <c r="L8" s="102" t="s">
        <v>108</v>
      </c>
    </row>
    <row r="13" spans="12:13" ht="19.5" customHeight="1" x14ac:dyDescent="0.25">
      <c r="M13" s="304" t="s">
        <v>103</v>
      </c>
    </row>
    <row r="14" spans="12:13" x14ac:dyDescent="0.25">
      <c r="M14" s="304"/>
    </row>
    <row r="24" spans="3:14" x14ac:dyDescent="0.25">
      <c r="N24" s="305"/>
    </row>
    <row r="25" spans="3:14" x14ac:dyDescent="0.25">
      <c r="N25" s="305"/>
    </row>
    <row r="26" spans="3:14" ht="36" x14ac:dyDescent="0.55000000000000004">
      <c r="C26" s="307" t="s">
        <v>105</v>
      </c>
      <c r="D26" s="307"/>
      <c r="N26" s="306" t="s">
        <v>107</v>
      </c>
    </row>
    <row r="27" spans="3:14" x14ac:dyDescent="0.25">
      <c r="N27" s="306"/>
    </row>
    <row r="28" spans="3:14" x14ac:dyDescent="0.25">
      <c r="M28" s="304" t="s">
        <v>104</v>
      </c>
    </row>
    <row r="29" spans="3:14" x14ac:dyDescent="0.25">
      <c r="M29" s="304"/>
    </row>
    <row r="47" spans="8:8" ht="54" x14ac:dyDescent="0.25">
      <c r="H47" s="101" t="s">
        <v>106</v>
      </c>
    </row>
  </sheetData>
  <mergeCells count="5">
    <mergeCell ref="M13:M14"/>
    <mergeCell ref="N24:N25"/>
    <mergeCell ref="C26:D26"/>
    <mergeCell ref="N26:N27"/>
    <mergeCell ref="M28:M2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D2" sqref="D2"/>
    </sheetView>
  </sheetViews>
  <sheetFormatPr baseColWidth="10" defaultColWidth="11.42578125" defaultRowHeight="15" x14ac:dyDescent="0.25"/>
  <cols>
    <col min="1" max="1" width="20.140625" style="15" bestFit="1" customWidth="1"/>
    <col min="2" max="2" width="11.42578125" style="15"/>
    <col min="3" max="3" width="16.140625" style="15" customWidth="1"/>
    <col min="4" max="6" width="11.42578125" style="15"/>
    <col min="7" max="7" width="10.42578125" style="15" customWidth="1"/>
    <col min="8" max="8" width="11.42578125" style="15"/>
    <col min="9" max="9" width="11.85546875" style="15" bestFit="1" customWidth="1"/>
    <col min="10" max="10" width="23.28515625" style="15" bestFit="1" customWidth="1"/>
    <col min="11" max="16384" width="11.42578125" style="15"/>
  </cols>
  <sheetData>
    <row r="1" spans="1:14" ht="38.25" x14ac:dyDescent="0.25">
      <c r="C1" s="15" t="s">
        <v>38</v>
      </c>
      <c r="D1" s="18" t="s">
        <v>91</v>
      </c>
      <c r="E1" s="18">
        <v>4</v>
      </c>
      <c r="K1" s="15" t="s">
        <v>37</v>
      </c>
      <c r="M1" s="15" t="s">
        <v>14</v>
      </c>
    </row>
    <row r="2" spans="1:14" ht="38.25" x14ac:dyDescent="0.25">
      <c r="C2" s="16">
        <v>0.01</v>
      </c>
      <c r="D2" s="18" t="s">
        <v>43</v>
      </c>
      <c r="E2" s="18">
        <v>15</v>
      </c>
      <c r="F2" s="15">
        <v>0.3</v>
      </c>
      <c r="G2" s="15">
        <v>200</v>
      </c>
      <c r="J2" s="15" t="s">
        <v>33</v>
      </c>
      <c r="K2" s="15">
        <v>0.9</v>
      </c>
      <c r="M2" s="15">
        <v>1</v>
      </c>
      <c r="N2" s="15">
        <v>0.2</v>
      </c>
    </row>
    <row r="3" spans="1:14" ht="38.25" x14ac:dyDescent="0.25">
      <c r="A3" s="15" t="s">
        <v>48</v>
      </c>
      <c r="B3" s="15">
        <v>1.2999999999999999E-2</v>
      </c>
      <c r="C3" s="16">
        <v>1.2E-2</v>
      </c>
      <c r="D3" s="18" t="s">
        <v>92</v>
      </c>
      <c r="E3" s="18">
        <v>19</v>
      </c>
      <c r="F3" s="15">
        <v>0.7</v>
      </c>
      <c r="G3" s="15">
        <v>300</v>
      </c>
      <c r="J3" s="15" t="s">
        <v>10</v>
      </c>
      <c r="K3" s="15">
        <v>0.7</v>
      </c>
      <c r="M3" s="15">
        <v>0.9</v>
      </c>
      <c r="N3" s="15">
        <v>0.25</v>
      </c>
    </row>
    <row r="4" spans="1:14" ht="38.25" x14ac:dyDescent="0.25">
      <c r="A4" s="15" t="s">
        <v>49</v>
      </c>
      <c r="B4" s="15">
        <v>8.9999999999999993E-3</v>
      </c>
      <c r="C4" s="27">
        <v>1.4E-2</v>
      </c>
      <c r="D4" s="18" t="s">
        <v>44</v>
      </c>
      <c r="E4" s="18">
        <v>23</v>
      </c>
      <c r="F4" s="15">
        <v>0.9</v>
      </c>
      <c r="G4" s="15">
        <v>400</v>
      </c>
      <c r="J4" s="15" t="s">
        <v>34</v>
      </c>
      <c r="K4" s="15">
        <v>0.3</v>
      </c>
      <c r="M4" s="15">
        <v>0.8</v>
      </c>
      <c r="N4" s="15">
        <v>0.3</v>
      </c>
    </row>
    <row r="5" spans="1:14" ht="38.25" x14ac:dyDescent="0.25">
      <c r="A5" s="15" t="s">
        <v>50</v>
      </c>
      <c r="B5" s="15">
        <v>8.9999999999999993E-3</v>
      </c>
      <c r="C5" s="27">
        <v>1.4999999999999999E-2</v>
      </c>
      <c r="D5" s="18" t="s">
        <v>93</v>
      </c>
      <c r="E5" s="18">
        <v>34</v>
      </c>
      <c r="F5" s="15">
        <v>1</v>
      </c>
      <c r="G5" s="15">
        <v>500</v>
      </c>
      <c r="J5" s="15" t="s">
        <v>36</v>
      </c>
      <c r="K5" s="15">
        <v>0.3</v>
      </c>
      <c r="M5" s="15">
        <v>0.7</v>
      </c>
      <c r="N5" s="15">
        <v>0.35</v>
      </c>
    </row>
    <row r="6" spans="1:14" ht="38.25" x14ac:dyDescent="0.25">
      <c r="A6" s="15" t="s">
        <v>51</v>
      </c>
      <c r="B6" s="15">
        <v>8.9999999999999993E-3</v>
      </c>
      <c r="C6" s="27">
        <v>1.6E-2</v>
      </c>
      <c r="D6" s="18" t="s">
        <v>94</v>
      </c>
      <c r="E6" s="18">
        <v>47</v>
      </c>
      <c r="J6" s="15" t="s">
        <v>35</v>
      </c>
      <c r="K6" s="15">
        <v>1</v>
      </c>
      <c r="M6" s="15">
        <v>0.6</v>
      </c>
      <c r="N6" s="15">
        <v>0.4</v>
      </c>
    </row>
    <row r="7" spans="1:14" ht="25.5" x14ac:dyDescent="0.5">
      <c r="A7" s="15" t="s">
        <v>52</v>
      </c>
      <c r="B7" s="15">
        <v>8.9999999999999993E-3</v>
      </c>
      <c r="C7" s="27">
        <v>1.7999999999999999E-2</v>
      </c>
      <c r="G7" s="17"/>
      <c r="J7" s="15" t="s">
        <v>129</v>
      </c>
      <c r="K7" s="15">
        <v>0.9</v>
      </c>
      <c r="M7" s="15">
        <v>0.5</v>
      </c>
    </row>
    <row r="8" spans="1:14" x14ac:dyDescent="0.25">
      <c r="C8" s="27">
        <v>0.02</v>
      </c>
      <c r="M8" s="15">
        <v>0.4</v>
      </c>
    </row>
    <row r="9" spans="1:14" x14ac:dyDescent="0.25">
      <c r="C9" s="27">
        <v>2.1999999999999999E-2</v>
      </c>
      <c r="M9" s="15">
        <v>0.3</v>
      </c>
    </row>
    <row r="10" spans="1:14" x14ac:dyDescent="0.25">
      <c r="C10" s="27">
        <v>2.4E-2</v>
      </c>
      <c r="M10" s="15">
        <v>0.2</v>
      </c>
    </row>
    <row r="11" spans="1:14" x14ac:dyDescent="0.25">
      <c r="C11" s="27">
        <v>2.5000000000000001E-2</v>
      </c>
      <c r="M11" s="15">
        <v>0.1</v>
      </c>
    </row>
    <row r="12" spans="1:14" x14ac:dyDescent="0.25">
      <c r="C12" s="27">
        <v>2.5999999999999999E-2</v>
      </c>
      <c r="M12" s="15">
        <v>0</v>
      </c>
    </row>
    <row r="13" spans="1:14" x14ac:dyDescent="0.25">
      <c r="C13" s="27">
        <v>2.8000000000000001E-2</v>
      </c>
    </row>
    <row r="14" spans="1:14" x14ac:dyDescent="0.25">
      <c r="C14" s="27">
        <v>0.03</v>
      </c>
    </row>
    <row r="15" spans="1:14" x14ac:dyDescent="0.25">
      <c r="C15" s="27"/>
    </row>
    <row r="16" spans="1:14" x14ac:dyDescent="0.25">
      <c r="C16" s="27"/>
    </row>
    <row r="17" spans="3:3" x14ac:dyDescent="0.25">
      <c r="C17" s="27"/>
    </row>
    <row r="18" spans="3:3" x14ac:dyDescent="0.25">
      <c r="C18" s="27"/>
    </row>
    <row r="19" spans="3:3" x14ac:dyDescent="0.25">
      <c r="C19" s="27"/>
    </row>
    <row r="20" spans="3:3" x14ac:dyDescent="0.25">
      <c r="C20" s="27"/>
    </row>
    <row r="21" spans="3:3" x14ac:dyDescent="0.25">
      <c r="C21" s="27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CALCULO DEPOSITOS DE CAJAS</vt:lpstr>
      <vt:lpstr>CALCULO DEPOSITOS DE GRAVA</vt:lpstr>
      <vt:lpstr>CALCULO JARDÍN LLUVIA</vt:lpstr>
      <vt:lpstr>CALCULO REBOSE</vt:lpstr>
      <vt:lpstr>Hoja1</vt:lpstr>
      <vt:lpstr>Hoja1 (2)</vt:lpstr>
      <vt:lpstr>Hoja3</vt:lpstr>
      <vt:lpstr>'CALCULO DEPOSITOS DE CAJAS'!Área_de_impresión</vt:lpstr>
      <vt:lpstr>'CALCULO DEPOSITOS DE GRAVA'!Área_de_impresión</vt:lpstr>
      <vt:lpstr>'CALCULO JARDÍN LLUVIA'!Área_de_impresión</vt:lpstr>
      <vt:lpstr>'CALCULO REBOSE'!Área_de_impresión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de Pazos</dc:creator>
  <cp:lastModifiedBy>Lopez Santamaria, Raul</cp:lastModifiedBy>
  <cp:lastPrinted>2024-01-16T08:13:48Z</cp:lastPrinted>
  <dcterms:created xsi:type="dcterms:W3CDTF">2018-05-24T03:11:04Z</dcterms:created>
  <dcterms:modified xsi:type="dcterms:W3CDTF">2024-01-17T12:20:30Z</dcterms:modified>
</cp:coreProperties>
</file>