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2.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3.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4.xml" ContentType="application/vnd.openxmlformats-officedocument.drawingml.chartshapes+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15.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16.xml" ContentType="application/vnd.openxmlformats-officedocument.drawingml.chartshapes+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adrid.sharepoint.com/sites/DGIGUALDAD9-BRECHAS/Documentos compartidos/BRECHAS/LT1_SIGEM-ACTUALIZACIÓN Y AUTOMATIZACIÓN/ACTUALIZACIONES SIGEM/VERSIONES PUBLICADAS/"/>
    </mc:Choice>
  </mc:AlternateContent>
  <xr:revisionPtr revIDLastSave="134" documentId="13_ncr:1_{712652D5-305C-4B7B-B72D-FCA7B6E6F2E4}" xr6:coauthVersionLast="47" xr6:coauthVersionMax="47" xr10:uidLastSave="{A65DD90D-945A-471E-ABB3-4672614AC53A}"/>
  <bookViews>
    <workbookView xWindow="-110" yWindow="-110" windowWidth="19420" windowHeight="9800" tabRatio="761" xr2:uid="{C86A62B2-409C-410B-B07A-652D6F2F18ED}"/>
  </bookViews>
  <sheets>
    <sheet name="INDICE" sheetId="15" r:id="rId1"/>
    <sheet name="1.SITUACIÓN GLOBAL" sheetId="40" r:id="rId2"/>
    <sheet name="1. Gráficas" sheetId="41" r:id="rId3"/>
    <sheet name="1. Ficha" sheetId="42" r:id="rId4"/>
    <sheet name="2. POBLACIÓN Y HOGARES" sheetId="11" r:id="rId5"/>
    <sheet name="2. Gráficas" sheetId="16" r:id="rId6"/>
    <sheet name="2. Ficha" sheetId="19" r:id="rId7"/>
    <sheet name="3. EMPLEO Y ACTIVIDAD ECONÓMICA" sheetId="1" r:id="rId8"/>
    <sheet name="3. Gráficas" sheetId="17" r:id="rId9"/>
    <sheet name="3. Ficha" sheetId="20" r:id="rId10"/>
    <sheet name="4. RENTA, PROT, POBREZA Y VIV" sheetId="2" r:id="rId11"/>
    <sheet name="4. Gráficas" sheetId="18" r:id="rId12"/>
    <sheet name="4. Ficha" sheetId="14" r:id="rId13"/>
    <sheet name="5. SALUD" sheetId="21" r:id="rId14"/>
    <sheet name="5. Gráficas" sheetId="22" r:id="rId15"/>
    <sheet name="5. Ficha" sheetId="23" r:id="rId16"/>
    <sheet name="6. CUIDADOS" sheetId="37" r:id="rId17"/>
    <sheet name="6. Gráficas" sheetId="38" r:id="rId18"/>
    <sheet name="6. Ficha" sheetId="39" r:id="rId19"/>
    <sheet name="7. EDUC, CIEN, CULT Y DEP" sheetId="28" r:id="rId20"/>
    <sheet name="7. Gráficas" sheetId="29" r:id="rId21"/>
    <sheet name="7. Ficha" sheetId="30" r:id="rId22"/>
    <sheet name="8. PODER Y PARTICIPACIÓN" sheetId="31" r:id="rId23"/>
    <sheet name="8. Gráficas" sheetId="32" r:id="rId24"/>
    <sheet name="8. Ficha" sheetId="33" r:id="rId25"/>
    <sheet name="9. SEGURIDAD Y MOVILIDAD" sheetId="34" r:id="rId26"/>
    <sheet name="9. Gráficas" sheetId="35" r:id="rId27"/>
    <sheet name="9. Ficha" sheetId="36" r:id="rId28"/>
  </sheets>
  <definedNames>
    <definedName name="_xlnm._FilterDatabase" localSheetId="19" hidden="1">'7. EDUC, CIEN, CULT Y DEP'!$E$13:$W$267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 l="1"/>
  <c r="U6" i="1"/>
  <c r="V6" i="1"/>
  <c r="W6" i="1"/>
  <c r="D6" i="1"/>
  <c r="X76" i="34"/>
  <c r="X75" i="34"/>
  <c r="X56" i="37" l="1"/>
  <c r="X24" i="31"/>
  <c r="Y25" i="31"/>
  <c r="W252" i="28"/>
  <c r="W254" i="28"/>
  <c r="W253" i="28"/>
  <c r="W251" i="28"/>
  <c r="W250" i="28"/>
  <c r="W7" i="2"/>
  <c r="W6" i="2"/>
  <c r="V3" i="2"/>
  <c r="W3" i="2"/>
  <c r="W196" i="28" l="1"/>
  <c r="W195" i="28"/>
  <c r="W194" i="28"/>
  <c r="W104" i="28"/>
  <c r="W103" i="28"/>
  <c r="W102" i="28"/>
  <c r="W299" i="1"/>
  <c r="W296" i="1"/>
  <c r="W300" i="1" s="1"/>
  <c r="W288" i="1"/>
  <c r="W280" i="1"/>
  <c r="V280" i="1"/>
  <c r="W282" i="1"/>
  <c r="W281" i="1"/>
  <c r="W283" i="1" l="1"/>
  <c r="W306" i="1"/>
  <c r="W305" i="1"/>
  <c r="X97" i="34"/>
  <c r="X96" i="34"/>
  <c r="X95" i="34"/>
  <c r="X94" i="34"/>
  <c r="X87" i="34"/>
  <c r="W74" i="34"/>
  <c r="X79" i="34" l="1"/>
  <c r="X84" i="34"/>
  <c r="X86" i="34"/>
  <c r="X82" i="34"/>
  <c r="X78" i="34"/>
  <c r="X74" i="34"/>
  <c r="X85" i="34"/>
  <c r="X77" i="34"/>
  <c r="X83" i="34"/>
  <c r="X81" i="34"/>
  <c r="X80" i="34"/>
  <c r="X24" i="34"/>
  <c r="W19" i="34"/>
  <c r="W10" i="34"/>
  <c r="X19" i="34"/>
  <c r="X10" i="34"/>
  <c r="X51" i="31"/>
  <c r="X50" i="31"/>
  <c r="X49" i="31"/>
  <c r="V51" i="31"/>
  <c r="W51" i="31"/>
  <c r="X39" i="31"/>
  <c r="X40" i="31"/>
  <c r="W277" i="28"/>
  <c r="W276" i="28"/>
  <c r="W272" i="28"/>
  <c r="W271" i="28"/>
  <c r="X266" i="28"/>
  <c r="X265" i="28"/>
  <c r="X262" i="28"/>
  <c r="X259" i="28"/>
  <c r="X256" i="28"/>
  <c r="X260" i="28" s="1"/>
  <c r="X245" i="28"/>
  <c r="X240" i="28"/>
  <c r="X239" i="28"/>
  <c r="W106" i="28"/>
  <c r="W109" i="28" s="1"/>
  <c r="W17" i="28"/>
  <c r="T11" i="28"/>
  <c r="V10" i="28"/>
  <c r="W11" i="28"/>
  <c r="W10" i="28"/>
  <c r="W9" i="28"/>
  <c r="W78" i="37"/>
  <c r="W81" i="37"/>
  <c r="W80" i="37"/>
  <c r="W79" i="37"/>
  <c r="W12" i="28" l="1"/>
  <c r="X61" i="37"/>
  <c r="V6" i="21"/>
  <c r="X48" i="2"/>
  <c r="X47" i="2"/>
  <c r="X43" i="2"/>
  <c r="X42" i="2"/>
  <c r="W75" i="2"/>
  <c r="W70" i="2"/>
  <c r="W65" i="2"/>
  <c r="X60" i="2"/>
  <c r="X59" i="2"/>
  <c r="X37" i="2"/>
  <c r="W32" i="2"/>
  <c r="W28" i="2"/>
  <c r="P23" i="2"/>
  <c r="Q23" i="2"/>
  <c r="R23" i="2"/>
  <c r="S23" i="2"/>
  <c r="T23" i="2"/>
  <c r="W23" i="2"/>
  <c r="W18" i="2"/>
  <c r="W16" i="1"/>
  <c r="W11" i="1"/>
  <c r="E32" i="11" l="1"/>
  <c r="X31" i="11"/>
  <c r="X30" i="11"/>
  <c r="X29" i="11"/>
  <c r="X28" i="11"/>
  <c r="X27" i="11"/>
  <c r="W87" i="34"/>
  <c r="W86" i="34"/>
  <c r="W77" i="34"/>
  <c r="W78" i="34"/>
  <c r="W79" i="34"/>
  <c r="W80" i="34"/>
  <c r="W81" i="34"/>
  <c r="W82" i="34"/>
  <c r="W83" i="34"/>
  <c r="W84" i="34"/>
  <c r="W85" i="34"/>
  <c r="W76" i="34"/>
  <c r="W75" i="34"/>
  <c r="W30" i="34"/>
  <c r="W29" i="34"/>
  <c r="W24" i="34"/>
  <c r="W262" i="28"/>
  <c r="W266" i="28" s="1"/>
  <c r="T265" i="28"/>
  <c r="U265" i="28"/>
  <c r="V265" i="28"/>
  <c r="W265" i="28"/>
  <c r="U6" i="21"/>
  <c r="W13" i="2"/>
  <c r="W12" i="2"/>
  <c r="X13" i="2"/>
  <c r="X12" i="2"/>
  <c r="W294" i="1"/>
  <c r="W293" i="1"/>
  <c r="V293" i="1"/>
  <c r="V294" i="1"/>
  <c r="X48" i="11"/>
  <c r="X53" i="11"/>
  <c r="X50" i="11"/>
  <c r="X54" i="11" s="1"/>
  <c r="X47" i="11"/>
  <c r="X44" i="11"/>
  <c r="X42" i="11"/>
  <c r="X41" i="11"/>
  <c r="X36" i="11"/>
  <c r="X35" i="11"/>
  <c r="X34" i="11"/>
  <c r="X33" i="11"/>
  <c r="X32" i="11"/>
  <c r="W28" i="11"/>
  <c r="W54" i="11"/>
  <c r="W53" i="11"/>
  <c r="W48" i="11"/>
  <c r="W47" i="11"/>
  <c r="W41" i="11"/>
  <c r="W38" i="11"/>
  <c r="W42" i="11" s="1"/>
  <c r="W36" i="11"/>
  <c r="W35" i="11"/>
  <c r="W34" i="11"/>
  <c r="W33" i="11"/>
  <c r="W32" i="11"/>
  <c r="W31" i="11"/>
  <c r="W30" i="11"/>
  <c r="W29" i="11"/>
  <c r="W27" i="11"/>
  <c r="X7" i="11"/>
  <c r="X6" i="11"/>
  <c r="W7" i="11"/>
  <c r="W6" i="11"/>
  <c r="T18" i="40"/>
  <c r="U18" i="40"/>
  <c r="S18" i="40"/>
  <c r="W72" i="37" l="1"/>
  <c r="W73" i="37"/>
  <c r="W66" i="37"/>
  <c r="W67" i="37"/>
  <c r="I25" i="37"/>
  <c r="I28" i="37"/>
  <c r="V305" i="1"/>
  <c r="V306" i="1"/>
  <c r="V87" i="34"/>
  <c r="U87" i="34"/>
  <c r="S87" i="34"/>
  <c r="P87" i="34"/>
  <c r="V86" i="34"/>
  <c r="U86" i="34"/>
  <c r="S86" i="34"/>
  <c r="P86" i="34"/>
  <c r="V85" i="34"/>
  <c r="U85" i="34"/>
  <c r="S85" i="34"/>
  <c r="P85" i="34"/>
  <c r="V84" i="34"/>
  <c r="U84" i="34"/>
  <c r="S84" i="34"/>
  <c r="V83" i="34"/>
  <c r="U83" i="34"/>
  <c r="S83" i="34"/>
  <c r="V82" i="34"/>
  <c r="U82" i="34"/>
  <c r="S82" i="34"/>
  <c r="P82" i="34"/>
  <c r="V81" i="34"/>
  <c r="U81" i="34"/>
  <c r="S81" i="34"/>
  <c r="P81" i="34"/>
  <c r="V80" i="34"/>
  <c r="U80" i="34"/>
  <c r="S80" i="34"/>
  <c r="P80" i="34"/>
  <c r="V79" i="34"/>
  <c r="U79" i="34"/>
  <c r="S79" i="34"/>
  <c r="P79" i="34"/>
  <c r="V78" i="34"/>
  <c r="U78" i="34"/>
  <c r="S78" i="34"/>
  <c r="P78" i="34"/>
  <c r="V77" i="34"/>
  <c r="U77" i="34"/>
  <c r="S77" i="34"/>
  <c r="P77" i="34"/>
  <c r="V76" i="34"/>
  <c r="U76" i="34"/>
  <c r="S76" i="34"/>
  <c r="P76" i="34"/>
  <c r="V75" i="34"/>
  <c r="U75" i="34"/>
  <c r="S75" i="34"/>
  <c r="P75" i="34"/>
  <c r="V74" i="34"/>
  <c r="U74" i="34"/>
  <c r="S74" i="34"/>
  <c r="P74" i="34"/>
  <c r="U266" i="28" l="1"/>
  <c r="U31" i="21" l="1"/>
  <c r="T31" i="21"/>
  <c r="S31" i="21"/>
  <c r="N31" i="21"/>
  <c r="O101" i="34" l="1"/>
  <c r="O103" i="34" s="1"/>
  <c r="O100" i="34"/>
  <c r="T101" i="34"/>
  <c r="T103" i="34" s="1"/>
  <c r="T100" i="34"/>
  <c r="U101" i="34"/>
  <c r="U103" i="34" s="1"/>
  <c r="U100" i="34"/>
  <c r="V101" i="34"/>
  <c r="V103" i="34" s="1"/>
  <c r="V100" i="34"/>
  <c r="J97" i="34"/>
  <c r="J96" i="34"/>
  <c r="J95" i="34"/>
  <c r="J94" i="34"/>
  <c r="O97" i="34"/>
  <c r="O96" i="34"/>
  <c r="O95" i="34"/>
  <c r="O94" i="34"/>
  <c r="T94" i="34"/>
  <c r="T95" i="34"/>
  <c r="T96" i="34"/>
  <c r="T97" i="34"/>
  <c r="U94" i="34"/>
  <c r="U95" i="34"/>
  <c r="U96" i="34"/>
  <c r="U97" i="34"/>
  <c r="V94" i="34"/>
  <c r="V95" i="34"/>
  <c r="V96" i="34"/>
  <c r="V97" i="34"/>
  <c r="W97" i="34"/>
  <c r="W96" i="34"/>
  <c r="W95" i="34"/>
  <c r="W94" i="34"/>
  <c r="V30" i="34"/>
  <c r="V29" i="34"/>
  <c r="J28" i="34"/>
  <c r="J30" i="34" s="1"/>
  <c r="J27" i="34"/>
  <c r="O28" i="34"/>
  <c r="O30" i="34" s="1"/>
  <c r="O27" i="34"/>
  <c r="T28" i="34"/>
  <c r="T27" i="34"/>
  <c r="U28" i="34"/>
  <c r="U27" i="34"/>
  <c r="W50" i="31"/>
  <c r="V50" i="31"/>
  <c r="F44" i="31"/>
  <c r="W44" i="31"/>
  <c r="T44" i="31"/>
  <c r="S44" i="31"/>
  <c r="R44" i="31"/>
  <c r="O44" i="31"/>
  <c r="J44" i="31"/>
  <c r="R40" i="31"/>
  <c r="R39" i="31"/>
  <c r="U39" i="31"/>
  <c r="U40" i="31"/>
  <c r="W39" i="31"/>
  <c r="W40" i="31"/>
  <c r="V40" i="31"/>
  <c r="V39" i="31"/>
  <c r="P34" i="31"/>
  <c r="Q34" i="31"/>
  <c r="S34" i="31"/>
  <c r="V34" i="31"/>
  <c r="V29" i="31"/>
  <c r="J24" i="31"/>
  <c r="E24" i="31"/>
  <c r="W24" i="31"/>
  <c r="V24" i="31"/>
  <c r="U24" i="31"/>
  <c r="T24" i="31"/>
  <c r="O24" i="31"/>
  <c r="W19" i="31"/>
  <c r="W15" i="31"/>
  <c r="W11" i="31"/>
  <c r="O3" i="31"/>
  <c r="O6" i="31" s="1"/>
  <c r="W3" i="31"/>
  <c r="W6" i="31" s="1"/>
  <c r="S6" i="31"/>
  <c r="N6" i="31"/>
  <c r="M6" i="31"/>
  <c r="L6" i="31"/>
  <c r="G6" i="31"/>
  <c r="V277" i="28"/>
  <c r="U277" i="28"/>
  <c r="T277" i="28"/>
  <c r="V276" i="28"/>
  <c r="U276" i="28"/>
  <c r="T276" i="28"/>
  <c r="V272" i="28"/>
  <c r="U272" i="28"/>
  <c r="T272" i="28"/>
  <c r="V271" i="28"/>
  <c r="U271" i="28"/>
  <c r="T271" i="28"/>
  <c r="O277" i="28"/>
  <c r="O276" i="28"/>
  <c r="O272" i="28"/>
  <c r="O271" i="28"/>
  <c r="J277" i="28"/>
  <c r="J276" i="28"/>
  <c r="J272" i="28"/>
  <c r="J271" i="28"/>
  <c r="E277" i="28"/>
  <c r="E276" i="28"/>
  <c r="E272" i="28"/>
  <c r="E271" i="28"/>
  <c r="U29" i="34" l="1"/>
  <c r="U30" i="34"/>
  <c r="T29" i="34"/>
  <c r="O29" i="34"/>
  <c r="T30" i="34"/>
  <c r="J29" i="34"/>
  <c r="T266" i="28"/>
  <c r="V266" i="28"/>
  <c r="U259" i="28" l="1"/>
  <c r="V259" i="28"/>
  <c r="W259" i="28"/>
  <c r="T259" i="28"/>
  <c r="T260" i="28"/>
  <c r="U260" i="28"/>
  <c r="V260" i="28"/>
  <c r="W260" i="28"/>
  <c r="V251" i="28"/>
  <c r="U251" i="28"/>
  <c r="T251" i="28"/>
  <c r="O251" i="28"/>
  <c r="J251" i="28"/>
  <c r="V250" i="28"/>
  <c r="U250" i="28"/>
  <c r="T250" i="28"/>
  <c r="O250" i="28"/>
  <c r="J250" i="28"/>
  <c r="W245" i="28"/>
  <c r="V245" i="28"/>
  <c r="U245" i="28"/>
  <c r="T245" i="28"/>
  <c r="O245" i="28"/>
  <c r="J245" i="28"/>
  <c r="E245" i="28"/>
  <c r="W238" i="28"/>
  <c r="W240" i="28" s="1"/>
  <c r="W237" i="28"/>
  <c r="V238" i="28"/>
  <c r="V240" i="28" s="1"/>
  <c r="V237" i="28"/>
  <c r="U238" i="28"/>
  <c r="U240" i="28" s="1"/>
  <c r="U237" i="28"/>
  <c r="T238" i="28"/>
  <c r="T240" i="28" s="1"/>
  <c r="T237" i="28"/>
  <c r="O238" i="28"/>
  <c r="O240" i="28" s="1"/>
  <c r="O237" i="28"/>
  <c r="J238" i="28"/>
  <c r="J240" i="28" s="1"/>
  <c r="J237" i="28"/>
  <c r="T234" i="28"/>
  <c r="U234" i="28"/>
  <c r="S234" i="28"/>
  <c r="J272" i="1"/>
  <c r="T272" i="1"/>
  <c r="T271" i="1"/>
  <c r="V223" i="28"/>
  <c r="V228" i="28" s="1"/>
  <c r="V222" i="28"/>
  <c r="V227" i="28" s="1"/>
  <c r="V221" i="28"/>
  <c r="V226" i="28" s="1"/>
  <c r="V220" i="28"/>
  <c r="V225" i="28" s="1"/>
  <c r="V219" i="28"/>
  <c r="V224" i="28" s="1"/>
  <c r="U223" i="28"/>
  <c r="U228" i="28" s="1"/>
  <c r="U222" i="28"/>
  <c r="U227" i="28" s="1"/>
  <c r="U221" i="28"/>
  <c r="U226" i="28" s="1"/>
  <c r="U220" i="28"/>
  <c r="U225" i="28" s="1"/>
  <c r="U219" i="28"/>
  <c r="U224" i="28" s="1"/>
  <c r="T223" i="28"/>
  <c r="T228" i="28" s="1"/>
  <c r="T222" i="28"/>
  <c r="T227" i="28" s="1"/>
  <c r="T221" i="28"/>
  <c r="T226" i="28" s="1"/>
  <c r="T220" i="28"/>
  <c r="T225" i="28" s="1"/>
  <c r="T219" i="28"/>
  <c r="T224" i="28" s="1"/>
  <c r="O223" i="28"/>
  <c r="O228" i="28" s="1"/>
  <c r="O222" i="28"/>
  <c r="O227" i="28" s="1"/>
  <c r="O221" i="28"/>
  <c r="O226" i="28" s="1"/>
  <c r="O220" i="28"/>
  <c r="O225" i="28" s="1"/>
  <c r="O219" i="28"/>
  <c r="O224" i="28" s="1"/>
  <c r="J222" i="28"/>
  <c r="J227" i="28" s="1"/>
  <c r="J221" i="28"/>
  <c r="J226" i="28" s="1"/>
  <c r="J220" i="28"/>
  <c r="J225" i="28" s="1"/>
  <c r="J219" i="28"/>
  <c r="J224" i="28" s="1"/>
  <c r="E222" i="28"/>
  <c r="E227" i="28" s="1"/>
  <c r="E221" i="28"/>
  <c r="E226" i="28" s="1"/>
  <c r="E220" i="28"/>
  <c r="E225" i="28" s="1"/>
  <c r="V218" i="28"/>
  <c r="V217" i="28"/>
  <c r="V216" i="28"/>
  <c r="V215" i="28"/>
  <c r="V214" i="28"/>
  <c r="U218" i="28"/>
  <c r="U217" i="28"/>
  <c r="U216" i="28"/>
  <c r="U215" i="28"/>
  <c r="U214" i="28"/>
  <c r="T218" i="28"/>
  <c r="T217" i="28"/>
  <c r="T216" i="28"/>
  <c r="T215" i="28"/>
  <c r="T214" i="28"/>
  <c r="O218" i="28"/>
  <c r="O217" i="28"/>
  <c r="O216" i="28"/>
  <c r="O215" i="28"/>
  <c r="O214" i="28"/>
  <c r="J217" i="28"/>
  <c r="J216" i="28"/>
  <c r="J215" i="28"/>
  <c r="J214" i="28"/>
  <c r="E217" i="28"/>
  <c r="E216" i="28"/>
  <c r="E215" i="28"/>
  <c r="E219" i="28"/>
  <c r="E224" i="28" s="1"/>
  <c r="E214" i="28"/>
  <c r="V73" i="37"/>
  <c r="U73" i="37"/>
  <c r="T73" i="37"/>
  <c r="S73" i="37"/>
  <c r="R73" i="37"/>
  <c r="Q73" i="37"/>
  <c r="P73" i="37"/>
  <c r="O73" i="37"/>
  <c r="N73" i="37"/>
  <c r="M73" i="37"/>
  <c r="L73" i="37"/>
  <c r="K73" i="37"/>
  <c r="J73" i="37"/>
  <c r="V72" i="37"/>
  <c r="U72" i="37"/>
  <c r="T72" i="37"/>
  <c r="S72" i="37"/>
  <c r="R72" i="37"/>
  <c r="Q72" i="37"/>
  <c r="P72" i="37"/>
  <c r="O72" i="37"/>
  <c r="N72" i="37"/>
  <c r="M72" i="37"/>
  <c r="L72" i="37"/>
  <c r="K72" i="37"/>
  <c r="J72" i="37"/>
  <c r="E73" i="37"/>
  <c r="V67" i="37"/>
  <c r="U67" i="37"/>
  <c r="T67" i="37"/>
  <c r="S67" i="37"/>
  <c r="R67" i="37"/>
  <c r="Q67" i="37"/>
  <c r="P67" i="37"/>
  <c r="O67" i="37"/>
  <c r="N67" i="37"/>
  <c r="M67" i="37"/>
  <c r="L67" i="37"/>
  <c r="K67" i="37"/>
  <c r="J67" i="37"/>
  <c r="E67" i="37"/>
  <c r="T233" i="28"/>
  <c r="U233" i="28"/>
  <c r="S233" i="28"/>
  <c r="U48" i="37"/>
  <c r="U49" i="37"/>
  <c r="U50" i="37"/>
  <c r="U51" i="37"/>
  <c r="U47" i="37"/>
  <c r="E61" i="37"/>
  <c r="W56" i="37"/>
  <c r="V56" i="37"/>
  <c r="U56" i="37"/>
  <c r="T56" i="37"/>
  <c r="S56" i="37"/>
  <c r="R56" i="37"/>
  <c r="Q56" i="37"/>
  <c r="P56" i="37"/>
  <c r="O56" i="37"/>
  <c r="J56" i="37"/>
  <c r="K56" i="37"/>
  <c r="L56" i="37"/>
  <c r="M56" i="37"/>
  <c r="N56" i="37"/>
  <c r="E56" i="37"/>
  <c r="K13" i="2"/>
  <c r="L13" i="2"/>
  <c r="M13" i="2"/>
  <c r="N13" i="2"/>
  <c r="O13" i="2"/>
  <c r="P13" i="2"/>
  <c r="Q13" i="2"/>
  <c r="R13" i="2"/>
  <c r="S13" i="2"/>
  <c r="T13" i="2"/>
  <c r="U13" i="2"/>
  <c r="V13" i="2"/>
  <c r="V288" i="1"/>
  <c r="V281" i="1"/>
  <c r="V282" i="1"/>
  <c r="J271" i="1"/>
  <c r="T21" i="1"/>
  <c r="J21" i="1"/>
  <c r="T270" i="1"/>
  <c r="T269" i="1"/>
  <c r="T265" i="1"/>
  <c r="T261" i="1"/>
  <c r="T257" i="1"/>
  <c r="T253" i="1"/>
  <c r="T249" i="1"/>
  <c r="T245" i="1"/>
  <c r="T241" i="1"/>
  <c r="T237" i="1"/>
  <c r="T233" i="1"/>
  <c r="T229" i="1"/>
  <c r="T225" i="1"/>
  <c r="T221" i="1"/>
  <c r="T217" i="1"/>
  <c r="T213" i="1"/>
  <c r="T209" i="1"/>
  <c r="T205" i="1"/>
  <c r="T201" i="1"/>
  <c r="T197" i="1"/>
  <c r="T193" i="1"/>
  <c r="T189" i="1"/>
  <c r="T185" i="1"/>
  <c r="T181" i="1"/>
  <c r="T177" i="1"/>
  <c r="T173" i="1"/>
  <c r="T169" i="1"/>
  <c r="T165" i="1"/>
  <c r="T161" i="1"/>
  <c r="T157" i="1"/>
  <c r="T153" i="1"/>
  <c r="T149" i="1"/>
  <c r="T145" i="1"/>
  <c r="T141" i="1"/>
  <c r="T137" i="1"/>
  <c r="T133" i="1"/>
  <c r="T129" i="1"/>
  <c r="T125" i="1"/>
  <c r="T121" i="1"/>
  <c r="T117" i="1"/>
  <c r="T113" i="1"/>
  <c r="T109" i="1"/>
  <c r="T105" i="1"/>
  <c r="T101" i="1"/>
  <c r="T97" i="1"/>
  <c r="T93" i="1"/>
  <c r="T89" i="1"/>
  <c r="T85" i="1"/>
  <c r="T81" i="1"/>
  <c r="T77" i="1"/>
  <c r="T73" i="1"/>
  <c r="T69" i="1"/>
  <c r="T65" i="1"/>
  <c r="T61" i="1"/>
  <c r="T57" i="1"/>
  <c r="T53" i="1"/>
  <c r="T49" i="1"/>
  <c r="T45" i="1"/>
  <c r="T41" i="1"/>
  <c r="T37" i="1"/>
  <c r="T33" i="1"/>
  <c r="T29" i="1"/>
  <c r="V283" i="1" l="1"/>
  <c r="D16" i="1"/>
  <c r="O239" i="28" l="1"/>
  <c r="J239" i="28"/>
  <c r="T239" i="28"/>
  <c r="U239" i="28"/>
  <c r="V239" i="28"/>
  <c r="O189" i="28"/>
  <c r="V109" i="28"/>
  <c r="U109" i="28"/>
  <c r="T109" i="28"/>
  <c r="O109" i="28"/>
  <c r="J109" i="28"/>
  <c r="V17" i="28"/>
  <c r="U17" i="28"/>
  <c r="T17" i="28"/>
  <c r="O17" i="28"/>
  <c r="U101" i="28"/>
  <c r="V97" i="28"/>
  <c r="U97" i="28"/>
  <c r="T97" i="28"/>
  <c r="V93" i="28"/>
  <c r="U93" i="28"/>
  <c r="T93" i="28"/>
  <c r="O93" i="28"/>
  <c r="J93" i="28"/>
  <c r="V89" i="28"/>
  <c r="U89" i="28"/>
  <c r="T89" i="28"/>
  <c r="O89" i="28"/>
  <c r="J89" i="28"/>
  <c r="V85" i="28"/>
  <c r="U85" i="28"/>
  <c r="T85" i="28"/>
  <c r="O85" i="28"/>
  <c r="J85" i="28"/>
  <c r="V81" i="28"/>
  <c r="U81" i="28"/>
  <c r="T81" i="28"/>
  <c r="O81" i="28"/>
  <c r="J81" i="28"/>
  <c r="V77" i="28"/>
  <c r="U77" i="28"/>
  <c r="T77" i="28"/>
  <c r="O77" i="28"/>
  <c r="J77" i="28"/>
  <c r="V73" i="28"/>
  <c r="U73" i="28"/>
  <c r="T73" i="28"/>
  <c r="O73" i="28"/>
  <c r="J73" i="28"/>
  <c r="V69" i="28"/>
  <c r="U69" i="28"/>
  <c r="T69" i="28"/>
  <c r="O69" i="28"/>
  <c r="J69" i="28"/>
  <c r="V65" i="28"/>
  <c r="U65" i="28"/>
  <c r="T65" i="28"/>
  <c r="O65" i="28"/>
  <c r="J65" i="28"/>
  <c r="V61" i="28"/>
  <c r="U61" i="28"/>
  <c r="T61" i="28"/>
  <c r="O61" i="28"/>
  <c r="J61" i="28"/>
  <c r="V41" i="28"/>
  <c r="U41" i="28"/>
  <c r="U45" i="28" s="1"/>
  <c r="T41" i="28"/>
  <c r="O41" i="28"/>
  <c r="J41" i="28"/>
  <c r="T45" i="28"/>
  <c r="O45" i="28"/>
  <c r="J45" i="28"/>
  <c r="V57" i="28"/>
  <c r="U57" i="28"/>
  <c r="T57" i="28"/>
  <c r="O57" i="28"/>
  <c r="J57" i="28"/>
  <c r="V53" i="28"/>
  <c r="U53" i="28"/>
  <c r="T53" i="28"/>
  <c r="O53" i="28"/>
  <c r="J53" i="28"/>
  <c r="V49" i="28"/>
  <c r="U49" i="28"/>
  <c r="T49" i="28"/>
  <c r="O49" i="28"/>
  <c r="J49" i="28"/>
  <c r="V45" i="28"/>
  <c r="V37" i="28"/>
  <c r="U37" i="28"/>
  <c r="T37" i="28"/>
  <c r="O37" i="28"/>
  <c r="J37" i="28"/>
  <c r="V33" i="28"/>
  <c r="U33" i="28"/>
  <c r="T33" i="28"/>
  <c r="O33" i="28"/>
  <c r="J33" i="28"/>
  <c r="V29" i="28"/>
  <c r="U29" i="28"/>
  <c r="T29" i="28"/>
  <c r="O29" i="28"/>
  <c r="J29" i="28"/>
  <c r="V25" i="28"/>
  <c r="U25" i="28"/>
  <c r="T25" i="28"/>
  <c r="O25" i="28"/>
  <c r="J25" i="28"/>
  <c r="V21" i="28"/>
  <c r="U21" i="28"/>
  <c r="T21" i="28"/>
  <c r="O21" i="28"/>
  <c r="J21" i="28"/>
  <c r="I300" i="1"/>
  <c r="I299" i="1"/>
  <c r="V299" i="1"/>
  <c r="V296" i="1"/>
  <c r="V300" i="1" s="1"/>
  <c r="O102" i="34" l="1"/>
  <c r="V102" i="34"/>
  <c r="T102" i="34"/>
  <c r="U102" i="34"/>
  <c r="V193" i="28"/>
  <c r="U193" i="28"/>
  <c r="T193" i="28"/>
  <c r="J193" i="28"/>
  <c r="V189" i="28"/>
  <c r="U189" i="28"/>
  <c r="T189" i="28"/>
  <c r="J189" i="28"/>
  <c r="V185" i="28"/>
  <c r="U185" i="28"/>
  <c r="T185" i="28"/>
  <c r="V181" i="28"/>
  <c r="U181" i="28"/>
  <c r="T181" i="28"/>
  <c r="O181" i="28"/>
  <c r="V177" i="28"/>
  <c r="U177" i="28"/>
  <c r="O177" i="28"/>
  <c r="J177" i="28"/>
  <c r="U173" i="28"/>
  <c r="O173" i="28"/>
  <c r="J173" i="28"/>
  <c r="V169" i="28"/>
  <c r="U169" i="28"/>
  <c r="T169" i="28"/>
  <c r="O169" i="28"/>
  <c r="V165" i="28"/>
  <c r="U165" i="28"/>
  <c r="T165" i="28"/>
  <c r="O165" i="28"/>
  <c r="V161" i="28"/>
  <c r="U161" i="28"/>
  <c r="O161" i="28"/>
  <c r="J161" i="28"/>
  <c r="V157" i="28"/>
  <c r="U157" i="28"/>
  <c r="T157" i="28"/>
  <c r="T161" i="28" s="1"/>
  <c r="O157" i="28"/>
  <c r="J157" i="28"/>
  <c r="V153" i="28"/>
  <c r="U153" i="28"/>
  <c r="T153" i="28"/>
  <c r="O153" i="28"/>
  <c r="J153" i="28"/>
  <c r="V149" i="28"/>
  <c r="U149" i="28"/>
  <c r="T149" i="28"/>
  <c r="O149" i="28"/>
  <c r="J149" i="28"/>
  <c r="V145" i="28"/>
  <c r="U145" i="28"/>
  <c r="T145" i="28"/>
  <c r="O145" i="28"/>
  <c r="J145" i="28"/>
  <c r="V141" i="28"/>
  <c r="U141" i="28"/>
  <c r="T141" i="28"/>
  <c r="O141" i="28"/>
  <c r="J141" i="28"/>
  <c r="V137" i="28"/>
  <c r="U137" i="28"/>
  <c r="T137" i="28"/>
  <c r="O137" i="28"/>
  <c r="J137" i="28"/>
  <c r="V133" i="28"/>
  <c r="U133" i="28"/>
  <c r="T133" i="28"/>
  <c r="O133" i="28"/>
  <c r="J133" i="28"/>
  <c r="V129" i="28"/>
  <c r="U129" i="28"/>
  <c r="T129" i="28"/>
  <c r="O129" i="28"/>
  <c r="J129" i="28"/>
  <c r="V125" i="28"/>
  <c r="U125" i="28"/>
  <c r="T125" i="28"/>
  <c r="O125" i="28"/>
  <c r="J125" i="28"/>
  <c r="V121" i="28"/>
  <c r="U121" i="28"/>
  <c r="T121" i="28"/>
  <c r="O121" i="28"/>
  <c r="J121" i="28"/>
  <c r="V117" i="28"/>
  <c r="U117" i="28"/>
  <c r="T117" i="28"/>
  <c r="O117" i="28"/>
  <c r="J117" i="28"/>
  <c r="V113" i="28"/>
  <c r="U113" i="28"/>
  <c r="T113" i="28"/>
  <c r="O113" i="28"/>
  <c r="J113" i="28"/>
  <c r="J17" i="28"/>
  <c r="V66" i="37" l="1"/>
  <c r="V11" i="1" l="1"/>
  <c r="V11" i="28" l="1"/>
  <c r="V9" i="28"/>
  <c r="U66" i="37" l="1"/>
  <c r="O66" i="37"/>
  <c r="J66" i="37"/>
  <c r="T66" i="37"/>
  <c r="K11" i="21"/>
  <c r="K8" i="21"/>
  <c r="X53" i="2" l="1"/>
  <c r="X50" i="2"/>
  <c r="X54" i="2" s="1"/>
  <c r="V21" i="11" l="1"/>
  <c r="U21" i="11"/>
  <c r="T21" i="11"/>
  <c r="V15" i="11"/>
  <c r="U15" i="11"/>
  <c r="T15" i="11"/>
  <c r="W61" i="37" l="1"/>
  <c r="V61" i="37"/>
  <c r="U61" i="37"/>
  <c r="T61" i="37"/>
  <c r="O61" i="37"/>
  <c r="J61" i="37"/>
  <c r="J7" i="2" l="1"/>
  <c r="O7" i="2"/>
  <c r="T7" i="2"/>
  <c r="U7" i="2"/>
  <c r="V7" i="2"/>
  <c r="E7" i="2"/>
  <c r="T206" i="28" l="1"/>
  <c r="U206" i="28"/>
  <c r="T205" i="28"/>
  <c r="U205" i="28"/>
  <c r="O206" i="28"/>
  <c r="O205" i="28"/>
  <c r="T204" i="28"/>
  <c r="U204" i="28"/>
  <c r="O204" i="28"/>
  <c r="J11" i="28"/>
  <c r="J10" i="28"/>
  <c r="O11" i="28"/>
  <c r="O10" i="28"/>
  <c r="T10" i="28"/>
  <c r="U11" i="28"/>
  <c r="U10" i="28"/>
  <c r="U9" i="28"/>
  <c r="J12" i="28" l="1"/>
  <c r="U207" i="28"/>
  <c r="T207" i="28"/>
  <c r="O207" i="28"/>
  <c r="V37" i="2" l="1"/>
  <c r="W37" i="2"/>
  <c r="D281" i="1" l="1"/>
  <c r="J269" i="1" l="1"/>
  <c r="J265" i="1"/>
  <c r="J261" i="1"/>
  <c r="J257" i="1"/>
  <c r="J253" i="1"/>
  <c r="J249" i="1"/>
  <c r="J245" i="1"/>
  <c r="J241" i="1"/>
  <c r="J237" i="1"/>
  <c r="J233" i="1"/>
  <c r="J229" i="1"/>
  <c r="J225" i="1"/>
  <c r="J221" i="1"/>
  <c r="J217" i="1"/>
  <c r="J213" i="1"/>
  <c r="J209" i="1"/>
  <c r="J205" i="1"/>
  <c r="J201" i="1"/>
  <c r="J197" i="1"/>
  <c r="J193" i="1"/>
  <c r="J189" i="1"/>
  <c r="J185" i="1"/>
  <c r="J181" i="1"/>
  <c r="J177" i="1"/>
  <c r="J173" i="1"/>
  <c r="J169" i="1"/>
  <c r="J165" i="1"/>
  <c r="J161" i="1"/>
  <c r="J157" i="1"/>
  <c r="J153" i="1"/>
  <c r="J149" i="1"/>
  <c r="J145" i="1"/>
  <c r="J141" i="1"/>
  <c r="J137" i="1"/>
  <c r="J133" i="1"/>
  <c r="J129" i="1"/>
  <c r="J25" i="1"/>
  <c r="E6" i="11" l="1"/>
  <c r="J13" i="2" l="1"/>
  <c r="J12" i="2"/>
  <c r="N35" i="21" l="1"/>
  <c r="S35" i="21"/>
  <c r="T35" i="21"/>
  <c r="U35" i="21"/>
  <c r="U59" i="2"/>
  <c r="V59" i="2"/>
  <c r="W59" i="2"/>
  <c r="N14" i="40" l="1"/>
  <c r="O14" i="40"/>
  <c r="Q14" i="40"/>
  <c r="I35" i="37"/>
  <c r="I34" i="37"/>
  <c r="I33" i="37"/>
  <c r="I32" i="37"/>
  <c r="I31" i="37"/>
  <c r="I30" i="37"/>
  <c r="I29" i="37"/>
  <c r="I27" i="37"/>
  <c r="I26" i="37"/>
  <c r="E66" i="37" l="1"/>
  <c r="E72" i="37"/>
  <c r="S24" i="34"/>
  <c r="Q24" i="34"/>
  <c r="P24" i="34"/>
  <c r="V19" i="34"/>
  <c r="U19" i="34"/>
  <c r="S15" i="34"/>
  <c r="V10" i="34"/>
  <c r="U10" i="34"/>
  <c r="S6" i="34"/>
  <c r="Q6" i="34"/>
  <c r="P6" i="34"/>
  <c r="Q15" i="34" l="1"/>
  <c r="P15" i="34"/>
  <c r="S29" i="31"/>
  <c r="Q29" i="31"/>
  <c r="P29" i="31"/>
  <c r="T9" i="28" l="1"/>
  <c r="O9" i="28"/>
  <c r="J9" i="28"/>
  <c r="T26" i="21"/>
  <c r="P26" i="21"/>
  <c r="L26" i="21"/>
  <c r="D26" i="21"/>
  <c r="P21" i="21"/>
  <c r="L21" i="21"/>
  <c r="T20" i="21"/>
  <c r="T19" i="21"/>
  <c r="T18" i="21"/>
  <c r="P16" i="21"/>
  <c r="L16" i="21"/>
  <c r="T15" i="21"/>
  <c r="T14" i="21"/>
  <c r="T13" i="21"/>
  <c r="T11" i="21"/>
  <c r="P11" i="21"/>
  <c r="D11" i="21"/>
  <c r="T6" i="21"/>
  <c r="S6" i="21"/>
  <c r="N6" i="21"/>
  <c r="I6" i="21"/>
  <c r="D6" i="21"/>
  <c r="T21" i="21" l="1"/>
  <c r="T16" i="21"/>
  <c r="V12" i="28"/>
  <c r="T12" i="28"/>
  <c r="U12" i="28"/>
  <c r="O12" i="28"/>
  <c r="W239" i="28"/>
  <c r="T306" i="1" l="1"/>
  <c r="U306" i="1"/>
  <c r="S306" i="1"/>
  <c r="S300" i="1"/>
  <c r="T300" i="1"/>
  <c r="U300" i="1"/>
  <c r="N300" i="1"/>
  <c r="I294" i="1"/>
  <c r="N294" i="1"/>
  <c r="S294" i="1"/>
  <c r="T294" i="1"/>
  <c r="U294" i="1"/>
  <c r="D294" i="1"/>
  <c r="I274" i="1"/>
  <c r="I280" i="1" s="1"/>
  <c r="N274" i="1"/>
  <c r="N280" i="1" s="1"/>
  <c r="S274" i="1"/>
  <c r="S280" i="1" s="1"/>
  <c r="T274" i="1"/>
  <c r="T280" i="1" s="1"/>
  <c r="U274" i="1"/>
  <c r="U280" i="1" s="1"/>
  <c r="D274" i="1"/>
  <c r="D280" i="1" s="1"/>
  <c r="U47" i="2" l="1"/>
  <c r="V47" i="2"/>
  <c r="W47" i="2"/>
  <c r="U48" i="2"/>
  <c r="V48" i="2"/>
  <c r="W48" i="2"/>
  <c r="J6" i="2" l="1"/>
  <c r="O6" i="2"/>
  <c r="T6" i="2"/>
  <c r="U6" i="2"/>
  <c r="J270" i="1"/>
  <c r="J38" i="11"/>
  <c r="J42" i="11" s="1"/>
  <c r="O38" i="11"/>
  <c r="O42" i="11" s="1"/>
  <c r="T38" i="11"/>
  <c r="T42" i="11" s="1"/>
  <c r="U38" i="11"/>
  <c r="U42" i="11" s="1"/>
  <c r="V38" i="11"/>
  <c r="V42" i="11" s="1"/>
  <c r="E38" i="11"/>
  <c r="E42" i="11" s="1"/>
  <c r="V48" i="11"/>
  <c r="V10" i="11"/>
  <c r="V33" i="11" s="1"/>
  <c r="V11" i="11"/>
  <c r="V34" i="11" s="1"/>
  <c r="V12" i="11"/>
  <c r="V35" i="11" s="1"/>
  <c r="V13" i="11"/>
  <c r="V36" i="11" s="1"/>
  <c r="V14" i="11"/>
  <c r="U10" i="11"/>
  <c r="U33" i="11" s="1"/>
  <c r="U11" i="11"/>
  <c r="U34" i="11" s="1"/>
  <c r="U12" i="11"/>
  <c r="U35" i="11" s="1"/>
  <c r="U13" i="11"/>
  <c r="U36" i="11" s="1"/>
  <c r="U14" i="11"/>
  <c r="T10" i="11"/>
  <c r="T33" i="11" s="1"/>
  <c r="T11" i="11"/>
  <c r="T34" i="11" s="1"/>
  <c r="T12" i="11"/>
  <c r="T35" i="11" s="1"/>
  <c r="T13" i="11"/>
  <c r="T36" i="11" s="1"/>
  <c r="T14" i="11"/>
  <c r="O33" i="11"/>
  <c r="O34" i="11"/>
  <c r="O35" i="11"/>
  <c r="O36" i="11"/>
  <c r="J33" i="11"/>
  <c r="J34" i="11"/>
  <c r="J35" i="11"/>
  <c r="J36" i="11"/>
  <c r="J32" i="11"/>
  <c r="O32" i="11"/>
  <c r="T9" i="11"/>
  <c r="T32" i="11" s="1"/>
  <c r="U9" i="11"/>
  <c r="U32" i="11" s="1"/>
  <c r="V9" i="11"/>
  <c r="V32" i="11" s="1"/>
  <c r="E33" i="11"/>
  <c r="E34" i="11"/>
  <c r="E35" i="11"/>
  <c r="E36" i="11"/>
  <c r="J7" i="11"/>
  <c r="O7" i="11"/>
  <c r="T7" i="11"/>
  <c r="U7" i="11"/>
  <c r="V7" i="11"/>
  <c r="E7" i="11"/>
  <c r="J29" i="1"/>
  <c r="W60" i="2"/>
  <c r="V60" i="2"/>
  <c r="U60" i="2"/>
  <c r="T60" i="2"/>
  <c r="T59" i="2"/>
  <c r="V43" i="2"/>
  <c r="U42" i="2"/>
  <c r="U43" i="2"/>
  <c r="W43" i="2"/>
  <c r="W42" i="2"/>
  <c r="V42" i="2"/>
  <c r="U37" i="2" l="1"/>
  <c r="T37" i="2"/>
  <c r="O37" i="2"/>
  <c r="U305" i="1"/>
  <c r="T305" i="1"/>
  <c r="S305" i="1"/>
  <c r="J125" i="1" l="1"/>
  <c r="J121" i="1"/>
  <c r="J117" i="1"/>
  <c r="J113" i="1"/>
  <c r="J109" i="1"/>
  <c r="J105" i="1"/>
  <c r="J101" i="1"/>
  <c r="J97" i="1"/>
  <c r="J93" i="1"/>
  <c r="J89" i="1"/>
  <c r="J85" i="1"/>
  <c r="J81" i="1"/>
  <c r="J77" i="1"/>
  <c r="J73" i="1"/>
  <c r="J69" i="1"/>
  <c r="J65" i="1"/>
  <c r="J61" i="1"/>
  <c r="J57" i="1"/>
  <c r="J53" i="1"/>
  <c r="J49" i="1"/>
  <c r="J45" i="1"/>
  <c r="J41" i="1"/>
  <c r="J37" i="1"/>
  <c r="J33" i="1"/>
  <c r="V54" i="11" l="1"/>
  <c r="D11" i="1" l="1"/>
  <c r="E47" i="11"/>
  <c r="J53" i="11"/>
  <c r="O53" i="11"/>
  <c r="T53" i="11"/>
  <c r="U53" i="11"/>
  <c r="V53" i="11"/>
  <c r="E53" i="11"/>
  <c r="J47" i="11"/>
  <c r="O47" i="11"/>
  <c r="T47" i="11"/>
  <c r="U47" i="11"/>
  <c r="V47" i="11"/>
  <c r="J41" i="11"/>
  <c r="O41" i="11"/>
  <c r="T41" i="11"/>
  <c r="U41" i="11"/>
  <c r="V41" i="11"/>
  <c r="E41" i="11"/>
  <c r="J31" i="11"/>
  <c r="O31" i="11"/>
  <c r="T31" i="11"/>
  <c r="U31" i="11"/>
  <c r="V31" i="11"/>
  <c r="J30" i="11"/>
  <c r="O30" i="11"/>
  <c r="T30" i="11"/>
  <c r="U30" i="11"/>
  <c r="V30" i="11"/>
  <c r="J29" i="11"/>
  <c r="O29" i="11"/>
  <c r="T29" i="11"/>
  <c r="U29" i="11"/>
  <c r="V29" i="11"/>
  <c r="J28" i="11"/>
  <c r="O28" i="11"/>
  <c r="T28" i="11"/>
  <c r="U28" i="11"/>
  <c r="V28" i="11"/>
  <c r="E28" i="11"/>
  <c r="E29" i="11"/>
  <c r="E30" i="11"/>
  <c r="E31" i="11"/>
  <c r="J27" i="11"/>
  <c r="O27" i="11"/>
  <c r="T27" i="11"/>
  <c r="U27" i="11"/>
  <c r="V27" i="11"/>
  <c r="E27" i="11"/>
  <c r="J6" i="11"/>
  <c r="O6" i="11"/>
  <c r="T6" i="11"/>
  <c r="U6" i="11"/>
  <c r="V6" i="11"/>
  <c r="O12" i="2"/>
  <c r="T12" i="2"/>
  <c r="U12" i="2"/>
  <c r="V12" i="2"/>
  <c r="V6" i="2"/>
  <c r="E6" i="2"/>
  <c r="V75" i="2" l="1"/>
  <c r="V65" i="2"/>
  <c r="V70" i="2"/>
  <c r="V32" i="2"/>
  <c r="V28" i="2"/>
  <c r="V23" i="2"/>
  <c r="V18" i="2"/>
  <c r="I293" i="1"/>
  <c r="D293" i="1"/>
  <c r="D288" i="1"/>
  <c r="I282" i="1"/>
  <c r="N282" i="1"/>
  <c r="S282" i="1"/>
  <c r="T282" i="1"/>
  <c r="U282" i="1"/>
  <c r="D282" i="1"/>
  <c r="D283" i="1" s="1"/>
  <c r="I281" i="1"/>
  <c r="N281" i="1"/>
  <c r="S281" i="1"/>
  <c r="T281" i="1"/>
  <c r="U281" i="1"/>
  <c r="U283" i="1" l="1"/>
  <c r="T283" i="1"/>
  <c r="N283" i="1"/>
  <c r="I283" i="1"/>
  <c r="S283" i="1"/>
  <c r="V16" i="1"/>
  <c r="E3" i="2" l="1"/>
  <c r="N293" i="1" l="1"/>
  <c r="S293" i="1"/>
  <c r="T293" i="1"/>
  <c r="U293" i="1"/>
  <c r="I6" i="1"/>
  <c r="U70" i="2" l="1"/>
  <c r="T70" i="2"/>
  <c r="O70" i="2"/>
  <c r="J70" i="2"/>
  <c r="U65" i="2"/>
  <c r="T65" i="2"/>
  <c r="O65" i="2"/>
  <c r="J65" i="2"/>
  <c r="U75" i="2"/>
  <c r="T75" i="2"/>
  <c r="O75" i="2"/>
  <c r="J75" i="2"/>
  <c r="U32" i="2"/>
  <c r="T32" i="2"/>
  <c r="O32" i="2"/>
  <c r="J32" i="2"/>
  <c r="U28" i="2"/>
  <c r="T28" i="2"/>
  <c r="O28" i="2"/>
  <c r="J28" i="2"/>
  <c r="U23" i="2"/>
  <c r="O23" i="2"/>
  <c r="J23" i="2"/>
  <c r="U18" i="2"/>
  <c r="T18" i="2"/>
  <c r="O18" i="2"/>
  <c r="J18" i="2"/>
  <c r="U16" i="1" l="1"/>
  <c r="T16" i="1"/>
  <c r="S16" i="1"/>
  <c r="N16" i="1"/>
  <c r="I16" i="1"/>
  <c r="U11" i="1"/>
  <c r="T11" i="1"/>
  <c r="S11" i="1"/>
  <c r="N11" i="1"/>
  <c r="I11" i="1"/>
  <c r="S6" i="1"/>
  <c r="N6" i="1"/>
  <c r="U299" i="1"/>
  <c r="T299" i="1"/>
  <c r="S299" i="1"/>
  <c r="N299" i="1"/>
  <c r="U288" i="1"/>
  <c r="T288" i="1"/>
  <c r="S288" i="1"/>
  <c r="N288" i="1"/>
  <c r="I288" i="1"/>
  <c r="J44" i="11"/>
  <c r="J48" i="11" s="1"/>
  <c r="O44" i="11"/>
  <c r="O48" i="11" s="1"/>
  <c r="T44" i="11"/>
  <c r="T48" i="11" s="1"/>
  <c r="U44" i="11"/>
  <c r="U48" i="11" s="1"/>
  <c r="E44" i="11"/>
  <c r="E48" i="11" s="1"/>
  <c r="U50" i="11" l="1"/>
  <c r="U54" i="11" s="1"/>
  <c r="T50" i="11"/>
  <c r="T54" i="11" s="1"/>
  <c r="O50" i="11"/>
  <c r="O54" i="11" s="1"/>
  <c r="J50" i="11"/>
  <c r="J54" i="11" s="1"/>
  <c r="E50" i="11"/>
  <c r="E54" i="11" s="1"/>
</calcChain>
</file>

<file path=xl/sharedStrings.xml><?xml version="1.0" encoding="utf-8"?>
<sst xmlns="http://schemas.openxmlformats.org/spreadsheetml/2006/main" count="2738" uniqueCount="918">
  <si>
    <t>Fichero actualizado por la Dirección General de Igualdad y contra la Violencia de Género a fecha de marzo de 2025</t>
  </si>
  <si>
    <t>SISTEMA DE INDICADORES DE GÉNERO DE LA CIUDAD DE MADRID (SIGEM)</t>
  </si>
  <si>
    <t>Ámbito</t>
  </si>
  <si>
    <t>Subámbito</t>
  </si>
  <si>
    <t>Nº</t>
  </si>
  <si>
    <t>Indicador SIGEM</t>
  </si>
  <si>
    <t xml:space="preserve">Gráficos </t>
  </si>
  <si>
    <t>Ficha</t>
  </si>
  <si>
    <t>1. Situación global de la desigualdad en la ciudad de Madrid</t>
  </si>
  <si>
    <t>1.1.</t>
  </si>
  <si>
    <t>Índice de desigualdad de género</t>
  </si>
  <si>
    <t>1.1</t>
  </si>
  <si>
    <t>1.2.</t>
  </si>
  <si>
    <t>Índice de desigualdad de género por ámbitos</t>
  </si>
  <si>
    <t>1.2</t>
  </si>
  <si>
    <t>1.3.</t>
  </si>
  <si>
    <t>Percepción de la desigualdad de oportunidades entre mujeres y hombres en la ciudad de Madrid</t>
  </si>
  <si>
    <t>1.3</t>
  </si>
  <si>
    <t>2. Población y hogares</t>
  </si>
  <si>
    <t>Estructura de la población</t>
  </si>
  <si>
    <t>2.1.</t>
  </si>
  <si>
    <t>Población total de mujeres y hombres</t>
  </si>
  <si>
    <t>2.1</t>
  </si>
  <si>
    <t>2.2.</t>
  </si>
  <si>
    <t>Población por grandes grupos de edad: principales indicadores</t>
  </si>
  <si>
    <t>2.2</t>
  </si>
  <si>
    <t xml:space="preserve"> 2.3. </t>
  </si>
  <si>
    <t>Población extranjera</t>
  </si>
  <si>
    <t xml:space="preserve"> 2.3</t>
  </si>
  <si>
    <t>Estructura de los hogares</t>
  </si>
  <si>
    <t>2.4.</t>
  </si>
  <si>
    <t xml:space="preserve">Hogares unipersonales (65 y + años) </t>
  </si>
  <si>
    <t>2.4</t>
  </si>
  <si>
    <t>2.5.</t>
  </si>
  <si>
    <t>Hogares monoparentales y monomarentales</t>
  </si>
  <si>
    <t>2.5</t>
  </si>
  <si>
    <t>3. Empleo y Actividad Económica</t>
  </si>
  <si>
    <t>Empleo y actividad económica</t>
  </si>
  <si>
    <t>3.1.</t>
  </si>
  <si>
    <t xml:space="preserve">Tasa de actividad de 16 a 64 años </t>
  </si>
  <si>
    <t>3.1</t>
  </si>
  <si>
    <t>3.2.</t>
  </si>
  <si>
    <t>Tasa de empleo de 16 a 64 años</t>
  </si>
  <si>
    <t>3.2</t>
  </si>
  <si>
    <t>3.3.</t>
  </si>
  <si>
    <t>Tasa de paro de 16 a 64 años</t>
  </si>
  <si>
    <t>3.3</t>
  </si>
  <si>
    <t>3.4.</t>
  </si>
  <si>
    <t>Población ocupada según tipo de ocupación</t>
  </si>
  <si>
    <t>3.4</t>
  </si>
  <si>
    <t>3.5.</t>
  </si>
  <si>
    <t>Tasa de contratos a tiempo parcial</t>
  </si>
  <si>
    <t>3.5</t>
  </si>
  <si>
    <t>3.6.</t>
  </si>
  <si>
    <t xml:space="preserve">Porcentaje de personas ocupadas en puestos no cualificados </t>
  </si>
  <si>
    <t>3.6</t>
  </si>
  <si>
    <t>3.7.</t>
  </si>
  <si>
    <t>Paro registrado</t>
  </si>
  <si>
    <t>3.7</t>
  </si>
  <si>
    <t>3.8.</t>
  </si>
  <si>
    <t>Personas afiliadas en el sistema especial para "Empleados de hogar"</t>
  </si>
  <si>
    <t>3.8</t>
  </si>
  <si>
    <t>3.9.</t>
  </si>
  <si>
    <t>Personas inscritas en la Agencia para el Empleo</t>
  </si>
  <si>
    <t>3.9</t>
  </si>
  <si>
    <t>4. Renta, Pobreza, Protección Social y Vivienda</t>
  </si>
  <si>
    <t>Renta</t>
  </si>
  <si>
    <t>4.1.</t>
  </si>
  <si>
    <t>Salario bruto medio por hora (€)</t>
  </si>
  <si>
    <t>4.1</t>
  </si>
  <si>
    <t>4.2.</t>
  </si>
  <si>
    <t>Importe medio mensual de pensiones contributivas (€)</t>
  </si>
  <si>
    <t>4.2</t>
  </si>
  <si>
    <t>Pobreza</t>
  </si>
  <si>
    <t>4.3.</t>
  </si>
  <si>
    <t>Tasa de riesgo de pobreza o exclusión social (Indicador AROPE)</t>
  </si>
  <si>
    <t>4.3</t>
  </si>
  <si>
    <t>4.4.</t>
  </si>
  <si>
    <t xml:space="preserve">Tasa de riesgo de pobreza </t>
  </si>
  <si>
    <t>4.4</t>
  </si>
  <si>
    <t>4.5.</t>
  </si>
  <si>
    <t xml:space="preserve">Población con dificultad o mucha dificultad para llegar a final de mes (%) </t>
  </si>
  <si>
    <t>4.5</t>
  </si>
  <si>
    <t>4.6.</t>
  </si>
  <si>
    <t xml:space="preserve">Tasa de riesgo de pobreza del total de hogares y de los hogares monoparentales/monomarentales </t>
  </si>
  <si>
    <t>4.6</t>
  </si>
  <si>
    <t>Protección social</t>
  </si>
  <si>
    <t>4.7.</t>
  </si>
  <si>
    <t xml:space="preserve">Población parada que percibe prestación por desempleo (%) </t>
  </si>
  <si>
    <t>4.7</t>
  </si>
  <si>
    <t>4.8.</t>
  </si>
  <si>
    <t>Solicitantes y perceptores/as de la Renta Mínima Inserción</t>
  </si>
  <si>
    <t>4.8</t>
  </si>
  <si>
    <t>4.9.</t>
  </si>
  <si>
    <t>Personas beneficiarias del Ingreso Mínimo Vital (N)</t>
  </si>
  <si>
    <t>4.9</t>
  </si>
  <si>
    <t>4.10.</t>
  </si>
  <si>
    <t>Personas atendidas en Atención Social Primaria de Centros de Servicios Sociales</t>
  </si>
  <si>
    <t>4.10</t>
  </si>
  <si>
    <t>Vivienda</t>
  </si>
  <si>
    <t>4.11.</t>
  </si>
  <si>
    <t>Hogares con vivienda en propiedad según sexo de la persona responsable del hogar</t>
  </si>
  <si>
    <t>4.11</t>
  </si>
  <si>
    <t>4.12.</t>
  </si>
  <si>
    <t xml:space="preserve">Población que no puede permitirse mantener la vivienda con una temperatura adecuada </t>
  </si>
  <si>
    <t>4.12</t>
  </si>
  <si>
    <t>4.13.</t>
  </si>
  <si>
    <t>Población que ha tenido retrasos en el pago de gastos relacionados con la vivienda en los últimos 12 meses (%)</t>
  </si>
  <si>
    <t>4.13</t>
  </si>
  <si>
    <t>5. Salud</t>
  </si>
  <si>
    <t>5.1.</t>
  </si>
  <si>
    <t xml:space="preserve">Esperanza de vida al nacer </t>
  </si>
  <si>
    <t>5.1</t>
  </si>
  <si>
    <t>5.2.</t>
  </si>
  <si>
    <t xml:space="preserve">Esperanza de vida en buena salud </t>
  </si>
  <si>
    <t>5.2</t>
  </si>
  <si>
    <t>5.3.</t>
  </si>
  <si>
    <t xml:space="preserve">Estado de salud percibida </t>
  </si>
  <si>
    <t>5.3</t>
  </si>
  <si>
    <t>5.4.</t>
  </si>
  <si>
    <t>Población que padece algún problema crónico de salud</t>
  </si>
  <si>
    <t>5.4</t>
  </si>
  <si>
    <t>5.5.</t>
  </si>
  <si>
    <t xml:space="preserve">Población con riesgo de mala salud mental </t>
  </si>
  <si>
    <t>5.5</t>
  </si>
  <si>
    <t>5.6.</t>
  </si>
  <si>
    <t>Personas con discapacidad reconocida</t>
  </si>
  <si>
    <t>5.6</t>
  </si>
  <si>
    <t>6. Cuidados y Corresponsabilidad</t>
  </si>
  <si>
    <t>Cuidados</t>
  </si>
  <si>
    <t>6.1.</t>
  </si>
  <si>
    <t>Porcentaje de población que realiza actividades a diario según tipo de actividad</t>
  </si>
  <si>
    <t>6.1</t>
  </si>
  <si>
    <t>6.2.</t>
  </si>
  <si>
    <t xml:space="preserve">Grado de participación en cuidados a menores o personas dependientes dentro del hogar </t>
  </si>
  <si>
    <t>6.2</t>
  </si>
  <si>
    <t>6.3.</t>
  </si>
  <si>
    <t xml:space="preserve">Porcentaje de la población ocupada a tiempo parcial por cuidado de niños/as, adultos/as enfermos/as, incapacitados/as o mayores </t>
  </si>
  <si>
    <t>6.3</t>
  </si>
  <si>
    <t>6.4.</t>
  </si>
  <si>
    <t>Porcentaje de la población inactiva cuya situación de inactividad es "labores del hogar"</t>
  </si>
  <si>
    <t>6.4</t>
  </si>
  <si>
    <t>Corresponsabilidad</t>
  </si>
  <si>
    <t>6.5.</t>
  </si>
  <si>
    <t>Excedencias por cuidado de hijos/as</t>
  </si>
  <si>
    <t>6.5</t>
  </si>
  <si>
    <t>6.6.</t>
  </si>
  <si>
    <t xml:space="preserve">Excedencias por cuidado de familiares </t>
  </si>
  <si>
    <t>6.6</t>
  </si>
  <si>
    <t>6.7.</t>
  </si>
  <si>
    <t>Población escolarizada en educación infantil de primero y segundo ciclo</t>
  </si>
  <si>
    <t>6.7</t>
  </si>
  <si>
    <t>7. Educación, Ciencia, Cultura y Deporte</t>
  </si>
  <si>
    <t>Educación</t>
  </si>
  <si>
    <t>7.1.</t>
  </si>
  <si>
    <t>Alumnado matriculado en bachillerato en bachillerato de ciencias y tecnología</t>
  </si>
  <si>
    <t>7.1</t>
  </si>
  <si>
    <t>7.2.</t>
  </si>
  <si>
    <t>Alumnado matriculado en formación profesional de grado medio por familias profesionales</t>
  </si>
  <si>
    <t>7.2</t>
  </si>
  <si>
    <t>7.3.</t>
  </si>
  <si>
    <t>Alumnado matriculado en formación profesional de grado superior por familias profesionales</t>
  </si>
  <si>
    <t>7.3</t>
  </si>
  <si>
    <t>Ciencia</t>
  </si>
  <si>
    <t>7.4.</t>
  </si>
  <si>
    <t>Alumnado matriculado en grados universitarios relacionados con las ramas CTIM</t>
  </si>
  <si>
    <t>7.4</t>
  </si>
  <si>
    <t>7.5.</t>
  </si>
  <si>
    <t>Personas empleadas en I+D</t>
  </si>
  <si>
    <t>7.5</t>
  </si>
  <si>
    <t>7.6.</t>
  </si>
  <si>
    <t>Personal de investigación en las universidades madrileñas</t>
  </si>
  <si>
    <t>7.6</t>
  </si>
  <si>
    <t>Cultura</t>
  </si>
  <si>
    <t>7.7.</t>
  </si>
  <si>
    <t>Empleo cultural</t>
  </si>
  <si>
    <t>7.7</t>
  </si>
  <si>
    <t>7.8.</t>
  </si>
  <si>
    <t>Distinciones honoríficas otorgadas por el Ayuntamiento de Madrid</t>
  </si>
  <si>
    <t>7.8</t>
  </si>
  <si>
    <t>7.9.</t>
  </si>
  <si>
    <t>Licencias federadas</t>
  </si>
  <si>
    <t>7.9</t>
  </si>
  <si>
    <t>Deporte</t>
  </si>
  <si>
    <t>7.10.</t>
  </si>
  <si>
    <t>Personas abonadas en centros deportivos municipales</t>
  </si>
  <si>
    <t>7.10</t>
  </si>
  <si>
    <t>7.11.</t>
  </si>
  <si>
    <t>Participantes en escuelas de promoción deportiva</t>
  </si>
  <si>
    <t>7.11</t>
  </si>
  <si>
    <t>7.12.</t>
  </si>
  <si>
    <t>Participantes en Juegos Deportivos Municipales colectivos e individuales</t>
  </si>
  <si>
    <t>7.12</t>
  </si>
  <si>
    <t>8. Poder y Participación Ciudadana</t>
  </si>
  <si>
    <t>Poder</t>
  </si>
  <si>
    <t>8.1.</t>
  </si>
  <si>
    <t>Representación femenina en las Concejalías del Ayuntamiento de Madrid</t>
  </si>
  <si>
    <t>8.1</t>
  </si>
  <si>
    <t>8.2.</t>
  </si>
  <si>
    <t>Porcentaje de rectoras en las universidades públicas y privadas madrileñas</t>
  </si>
  <si>
    <t>8.2</t>
  </si>
  <si>
    <t>8.3.</t>
  </si>
  <si>
    <t>Porcentaje de población ocupada en puestos de dirección o gerencia</t>
  </si>
  <si>
    <t>8.3</t>
  </si>
  <si>
    <t>Participación Ciudadana</t>
  </si>
  <si>
    <t>8.4.</t>
  </si>
  <si>
    <t>Porcentaje de la población de la ciudad de Madrid que pertenece a alguna asociación o entidad</t>
  </si>
  <si>
    <t>8.4</t>
  </si>
  <si>
    <t>8.5.</t>
  </si>
  <si>
    <t xml:space="preserve">Porcentaje de la población de la ciudad de Madrid que tiene interés en participar en asuntos municipales </t>
  </si>
  <si>
    <t>8.5</t>
  </si>
  <si>
    <t>8.6.</t>
  </si>
  <si>
    <t>Personas inscritas en el Cuerpo de Voluntarios y Voluntarias del Ayuntamiento de Madrid</t>
  </si>
  <si>
    <t>8.6</t>
  </si>
  <si>
    <t>8.7.</t>
  </si>
  <si>
    <t>Ratio de asociaciones de mujeres</t>
  </si>
  <si>
    <t>8.7</t>
  </si>
  <si>
    <t>8.8.</t>
  </si>
  <si>
    <t>Solicitudes de acceso a la información pública</t>
  </si>
  <si>
    <t>8.8</t>
  </si>
  <si>
    <t>9. Seguridad y Movilidad</t>
  </si>
  <si>
    <t>Seguridad</t>
  </si>
  <si>
    <t>9.1.</t>
  </si>
  <si>
    <t>Percepción de seguridad en el barrio por el día</t>
  </si>
  <si>
    <t>9.1</t>
  </si>
  <si>
    <r>
      <t>9</t>
    </r>
    <r>
      <rPr>
        <sz val="11"/>
        <color rgb="FF404040"/>
        <rFont val="Calibri"/>
        <family val="2"/>
        <scheme val="minor"/>
      </rPr>
      <t xml:space="preserve">.2. </t>
    </r>
  </si>
  <si>
    <t>Percepción de seguridad en el barrio por la noche</t>
  </si>
  <si>
    <t>9.2</t>
  </si>
  <si>
    <t>9.3.</t>
  </si>
  <si>
    <t>Porcentaje de personas que han sido víctimas de un robo, atraco o agresión en la ciudad de Madrid en el último año</t>
  </si>
  <si>
    <t>9.3</t>
  </si>
  <si>
    <t>9.4.</t>
  </si>
  <si>
    <t>Personas adultas que han sido condenadas por sentencia firme</t>
  </si>
  <si>
    <t>9.4</t>
  </si>
  <si>
    <t>Movilidad</t>
  </si>
  <si>
    <t>9.5.</t>
  </si>
  <si>
    <t>Medios habituales de transporte utilizados para desplazamientos cotidianos</t>
  </si>
  <si>
    <t>9.5</t>
  </si>
  <si>
    <t>9.6.</t>
  </si>
  <si>
    <t>Personas implicadas en accidentes de tráfico en la ciudad de Madrid</t>
  </si>
  <si>
    <t>9.6</t>
  </si>
  <si>
    <t>9.7.</t>
  </si>
  <si>
    <t>Personas que tienen la Tarjeta de Identificación de Conductor/a y pueden ejercer la profesión de conductor/a de vehículo autotaxi</t>
  </si>
  <si>
    <t>9.7</t>
  </si>
  <si>
    <t>1. SITUACIÓN GLOBAL DE LA DESIGUALDAD EN LA CIUDAD DE MADRID</t>
  </si>
  <si>
    <t>SIGEM</t>
  </si>
  <si>
    <t>INDICADOR</t>
  </si>
  <si>
    <t>1.1. Índice de desigualdad de género</t>
  </si>
  <si>
    <t>ÁMBITOS</t>
  </si>
  <si>
    <t>1.2. Índice de desigualdad de género por ámbitos</t>
  </si>
  <si>
    <t>EDUCACIÓN</t>
  </si>
  <si>
    <t>TRABAJO REMUNERADO</t>
  </si>
  <si>
    <t>INGRESOS</t>
  </si>
  <si>
    <t>DECISIONES</t>
  </si>
  <si>
    <t>TRABAJO NO REMUNERADO</t>
  </si>
  <si>
    <t>1.3. Percepción de la desigualdad de oportunidades entre mujeres y hombres en la ciudad de Madrid</t>
  </si>
  <si>
    <t>Porcentaje de personas que perciben la desigualdad de oportunidades entre mujeres y hombres como alta y muy alta</t>
  </si>
  <si>
    <t>Ambos sexos</t>
  </si>
  <si>
    <t>Hombres</t>
  </si>
  <si>
    <t>Mujeres</t>
  </si>
  <si>
    <t>Diferencia</t>
  </si>
  <si>
    <r>
      <t xml:space="preserve">Valoración media de la </t>
    </r>
    <r>
      <rPr>
        <u/>
        <sz val="11"/>
        <color theme="1"/>
        <rFont val="Calibri"/>
        <family val="2"/>
        <scheme val="minor"/>
      </rPr>
      <t>existencia</t>
    </r>
    <r>
      <rPr>
        <sz val="11"/>
        <color theme="1"/>
        <rFont val="Calibri"/>
        <family val="2"/>
        <scheme val="minor"/>
      </rPr>
      <t xml:space="preserve"> de desigualdad de oportunidades entre mujeres y hombres  </t>
    </r>
  </si>
  <si>
    <t>Ambos Sexos</t>
  </si>
  <si>
    <t>Definición</t>
  </si>
  <si>
    <t>Índice global que mide la desigualdad de género a nivel de la ciudad de Madrid. Identifica 5 ámbitos de interés, para los que se seleccionan 12 dimensiones a valorar mediante un conjunto de 19 variables: educación, trabajo productivo remunerado, trabajo productivo no remunerado, ingresos económicos y proceso de toma de decisiones.</t>
  </si>
  <si>
    <t>Brecha</t>
  </si>
  <si>
    <t>Mide de forma agregada la desigualdad de género. El valor 1 de este índice indica igualdad entre mujeres y hombres. Cuando el valor del índice está por debajo o por encima de 1 implica que hay desigualdad de género.</t>
  </si>
  <si>
    <t>Nivel</t>
  </si>
  <si>
    <t>Ciudad de Madrid vs Comunidad de Madrid</t>
  </si>
  <si>
    <t>Fuente</t>
  </si>
  <si>
    <t xml:space="preserve"> Subdirección General de Estadística del Ayuntamiento de Madrid</t>
  </si>
  <si>
    <t>Interseccionalidad</t>
  </si>
  <si>
    <t>No se contempla dentro del Índice</t>
  </si>
  <si>
    <t>Distrito</t>
  </si>
  <si>
    <t>No</t>
  </si>
  <si>
    <t xml:space="preserve">Mide las diferencias de género en diferentes ámbitos (educación, trabajo remunerado, ingresos, decisiones y trabajo no remunerado). </t>
  </si>
  <si>
    <t>El valor 1 de este índice indica igualdad entre mujeres y hombres. Cuando el valor del índice está por debajo o por encima de 1 indica que hay desigualdad de género.</t>
  </si>
  <si>
    <t>Percepción de la población de la ciudad de Madrid sobre el nivel y existencia de desigualdad de oportunidades entre los hombres y las mujeres, distribución porcentual por sexo.</t>
  </si>
  <si>
    <t>Diferencia entre el porcentaje femenino y masculino. Un valor negativo indica que los hombres perciben menos la desigualdad de oportunidades entre mujeres y hombres. Ejemplo: En 2019, las mujeres perciben mayor desigualdad de oportunidades que los hombres, con una diferencia de 7,9 puntos porcentuales.</t>
  </si>
  <si>
    <t>Ciudad de Madrid</t>
  </si>
  <si>
    <t>Encuesta de Calidad de Vida y Satisfacción con los Servicios Públicos de la Ciudad de Madrid.</t>
  </si>
  <si>
    <t>Edad, nacionalidad, país de origen, estado civil, nivel educativo, situación laboral</t>
  </si>
  <si>
    <t>Nota</t>
  </si>
  <si>
    <t>Desde el 2016 al 2019 se mide el nivel de desigualdad de oportunidades con la pregunta "¿Usted diría que en Madrid la desigualdad de oportunidades entre las mujeres y los hombres es muy alta, alta, baja o muy baja?". En 2021 cambió la escala de medición de esta pregunta, pasando a una escala de 0 a 10, por lo que no puede compararse con la serie anterior que va hasta 2019. A partir del 2021 se recoge la valoración respecto a la existencia de desigualdad de oportunidades entre mujeres y hombres, mediante la pregunta "¿Dígame en una escala de 0 a 10 su valoración sobre la existencia de desigualdad de oportunidades entre hombres y mujeres?".</t>
  </si>
  <si>
    <t>2. POBLACIÓN Y HOGARES</t>
  </si>
  <si>
    <t>SUBÁMBITO</t>
  </si>
  <si>
    <t>Estructura de la Población</t>
  </si>
  <si>
    <t>2.1. Población total de mujeres y hombres (N)</t>
  </si>
  <si>
    <t>Diferencia (N)</t>
  </si>
  <si>
    <t>% Mujeres</t>
  </si>
  <si>
    <t>2.2. Población por grandes grupos de edad: principales indicadores</t>
  </si>
  <si>
    <t>Total</t>
  </si>
  <si>
    <t>0 a 14 años</t>
  </si>
  <si>
    <t>15 a 64 años</t>
  </si>
  <si>
    <t>65 y mas años</t>
  </si>
  <si>
    <t>80 y más años</t>
  </si>
  <si>
    <t>No consta</t>
  </si>
  <si>
    <t>2.3. Población extranjera (N)</t>
  </si>
  <si>
    <t>Estructura de los Hogares</t>
  </si>
  <si>
    <t>2.4. Hogares Unipersonales (65 y más años)</t>
  </si>
  <si>
    <t>Total hogares unipersonales de 65 y más años</t>
  </si>
  <si>
    <t>1 hombre solo de 65 o más años</t>
  </si>
  <si>
    <t>1 mujer sola de 65 o más años</t>
  </si>
  <si>
    <t>% Mujeres solas de 65 y más</t>
  </si>
  <si>
    <t>2.5. Hogares monoparentales y monomarentales</t>
  </si>
  <si>
    <t>Total hogares monoparentales y monomarentales</t>
  </si>
  <si>
    <t>1 hombre adulto con 1 o más menores</t>
  </si>
  <si>
    <t>1 mujer adulta con 1 o más menores</t>
  </si>
  <si>
    <t>% Hogares monomarentales</t>
  </si>
  <si>
    <t>2.1. Población total de mujeres y hombres</t>
  </si>
  <si>
    <t>Población total de mujeres y hombres empadronada en la ciudad de Madrid. Valores absolutos y distribución porcentual de cada sexo</t>
  </si>
  <si>
    <t>Se presenta, por un lado, la diferencia en valores absolutos entre la población total de mujeres y la de hombres. Por otro, el porcentaje de mujeres en relación a la población total, donde un porcentaje mayor al 50% significa una feminización de la población. En 2023 las mujeres suponen el 53,3% de la población madrileña.</t>
  </si>
  <si>
    <t>Datos para la ciudad de Madrid</t>
  </si>
  <si>
    <t>Padrón Municipal de Habitantes. Subdirección General de Estadística.</t>
  </si>
  <si>
    <t>Variables de interés para representar la diversidad de mujeres: Nacionalidad, distrito.</t>
  </si>
  <si>
    <t>Se incluye en el Panel Distrital de Indicadores de Género</t>
  </si>
  <si>
    <t xml:space="preserve"> </t>
  </si>
  <si>
    <t xml:space="preserve">Población total de mujeres y hombres empadronada en la ciudad de Madrid desde el 2005 al 2023, por grandes grupos de edad. </t>
  </si>
  <si>
    <t>Se presenta para cada grupo de edad, por un lado, la diferencia en valores absolutos entre la población de mujeres y la de hombres en ese grupo de edad. Por otro, el porcentaje de mujeres en relación a la población en ese grupo de edad, donde un porcentaje mayor al 50% significa una feminización de la población. A partir de los 65 años hay una clara feminización de la población.</t>
  </si>
  <si>
    <t>Padrón Municipal de Habitantes. Subdirección General de Estadística. Elaboración propia.</t>
  </si>
  <si>
    <t>El total de las personas del grupo de 80 y más años está incluido dentro del total de 65 y más años.</t>
  </si>
  <si>
    <t>2.3. Población extranjera</t>
  </si>
  <si>
    <t>Población total de mujeres y hombres de nacionalidad extranjera empadronada en la ciudad de Madrid desde el 2005 al 2023.</t>
  </si>
  <si>
    <t>Se presenta, por un lado, la diferencia en valores absolutos entre la población total de mujeres y la de hombres de nacionalidad extranjera. Por otro, el porcentaje de mujeres en relación a la población total extranjera, donde un porcentaje mayor al 50% significa una feminización de la población. En 2023, el 53,2% de la población extranjera son mujeres.</t>
  </si>
  <si>
    <t>Datos</t>
  </si>
  <si>
    <t>Datos 2005 - 2015: Padrón Municipal de Habitantes. Subdirección General de Estadística. Elaboración propia.</t>
  </si>
  <si>
    <t>Datos 2020 - 2023: Padrón Municipal de Habitantes. Subdirección General de Estadística. Elaboración propia.</t>
  </si>
  <si>
    <t>Variables de interés para representar la diversidad de mujeres: Edad, distrito.</t>
  </si>
  <si>
    <t xml:space="preserve">2.4. Hogares unipersonales (65 y + años) </t>
  </si>
  <si>
    <t>Total de hogares unipersonales de la ciudad de Madrid según sexo de la persona mayor de 65 años que vive sola</t>
  </si>
  <si>
    <t>Se presenta el número de hogares unipersonales de personas de 65 y más años (N) según sexo, la diferencia en valores absolutos de los hogares de mujeres y  de hombres que viven solos (N) y el porcentaje de mujeres que viven solas sobre el total hogares unipersonales de 65 y más años. El valor en positivo de los datos significa que hay una feminización, y el valor en negativo, una masculinización. El porcentaje indica la distribución porcentual de los hogares unipersonales de mujeres de 65 y más años respecto a total, donde un porcentaje mayor al 50% significa una feminización. En 2023, el 76,5% de los hogares unipersonales de 65 y más años son de mujeres de esa edad que viven solas.</t>
  </si>
  <si>
    <t>Datos 2020 -2023: Padrón Municipal de Habitantes. Subdirección General de Estadística. Elaboración propia.</t>
  </si>
  <si>
    <r>
      <rPr>
        <sz val="11"/>
        <color rgb="FF000000"/>
        <rFont val="Calibri"/>
        <family val="2"/>
        <scheme val="minor"/>
      </rPr>
      <t xml:space="preserve">Total de hogares monoparentales de la ciudad de Madrid según sexo de la </t>
    </r>
    <r>
      <rPr>
        <sz val="11"/>
        <rFont val="Calibri"/>
        <family val="2"/>
        <scheme val="minor"/>
      </rPr>
      <t>persona adulta</t>
    </r>
    <r>
      <rPr>
        <sz val="11"/>
        <color rgb="FF000000"/>
        <rFont val="Calibri"/>
        <family val="2"/>
        <scheme val="minor"/>
      </rPr>
      <t xml:space="preserve"> responsable del hogar</t>
    </r>
  </si>
  <si>
    <t>Se presenta el total de hogares monoparentales y monomarentales (N) y el porcentaje de hogares monomarentales sobre el total. También la diferencia en valores absolutos de estos hogares de mujeres y  de hombres. El valor en positivo de los datos significa que hay una feminización de este tipo de hogares, y el valor en negativo, una masculinización. En la distribución porcentual de los hogares monomarentales, esto es, encabezados por mujeres, respecto a total, un porcentaje mayor al 50% significa una feminización. En 2023, el 83% de los hogares monoparentales están encabezados por una mujer.</t>
  </si>
  <si>
    <t>3. EMPLEO Y ACTIVIDAD ECONÓMICA</t>
  </si>
  <si>
    <t>3.1. Tasa de actividad de 16 a 64 años</t>
  </si>
  <si>
    <t>Ambos sexos (%)</t>
  </si>
  <si>
    <t>Hombres (%)</t>
  </si>
  <si>
    <t>Mujeres (%)</t>
  </si>
  <si>
    <t>Brecha (punt.porc.)</t>
  </si>
  <si>
    <t>3.2. Tasa de empleo de 16 a 64 años</t>
  </si>
  <si>
    <t>3.3. Tasa de paro de 16 a 64 años</t>
  </si>
  <si>
    <t>3.4. Población ocupada según tipo de ocupación</t>
  </si>
  <si>
    <t>Total ocupaciones (N)</t>
  </si>
  <si>
    <t>Ambos sexos (N)</t>
  </si>
  <si>
    <t>Hombres (N)</t>
  </si>
  <si>
    <t>Mujeres (N)</t>
  </si>
  <si>
    <t>% mujeres</t>
  </si>
  <si>
    <t>Ocupaciones militares</t>
  </si>
  <si>
    <t>Miembros del poder ejecutivo y de los cuerpos legislativos; directivos de la Administración Pública y organizaciones de interés social; directores ejecutivos</t>
  </si>
  <si>
    <t>Directores de departamentos administrativos y comerciales</t>
  </si>
  <si>
    <t>Directores de producción y operaciones</t>
  </si>
  <si>
    <t>Directores y gerentes de empresas de alojamiento, restauración y comercio</t>
  </si>
  <si>
    <t>Directores y gerentes de otras empresas de servicios no clasificados bajo otros epígrafes</t>
  </si>
  <si>
    <t>Profesionales de la salud</t>
  </si>
  <si>
    <t>Profesionales de la enseñanza infantil, primaria, secundaria y postsecundaria</t>
  </si>
  <si>
    <t>Otros profesionales de la enseñanza</t>
  </si>
  <si>
    <t>Profesionales de la ciencias físicas, químicas, matemáticas y de las ingenierías</t>
  </si>
  <si>
    <t>Profesionales en derecho</t>
  </si>
  <si>
    <t>Especialistas en organización de la Administración Pública y de las empresas y en la comercialización</t>
  </si>
  <si>
    <t>Profesionales de las tecnologías de la información</t>
  </si>
  <si>
    <t>Profesionales en ciencias sociales</t>
  </si>
  <si>
    <t>Profesionales de la cultura y el espectáculo</t>
  </si>
  <si>
    <t>Técnicos de las ciencias y de las ingenierías</t>
  </si>
  <si>
    <t>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</si>
  <si>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</si>
  <si>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</si>
  <si>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</si>
  <si>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seguridad</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</si>
  <si>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</si>
  <si>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</si>
  <si>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transporte</t>
  </si>
  <si>
    <t>42 - Empleados de bibliotecas, servicios de correos y afines</t>
  </si>
  <si>
    <t>43 - Otros empleados administrativos sin tareas de atención al público</t>
  </si>
  <si>
    <t>44 - Empleados de agencias de viajes, recepcionistas y telefonistas; empleados de ventanilla y afines (excepto taquilleros)</t>
  </si>
  <si>
    <t>45 - Empleados administrativos con tareas de atención al público no clasificados bajo otros epígrafes</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</si>
  <si>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</si>
  <si>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</si>
  <si>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</si>
  <si>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</si>
  <si>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</si>
  <si>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</si>
  <si>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</si>
  <si>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</si>
  <si>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</si>
  <si>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</si>
  <si>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</si>
  <si>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</si>
  <si>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</si>
  <si>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</si>
  <si>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</si>
  <si>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afines</t>
  </si>
  <si>
    <t>73 - Soldadores, chapistas, montadores de estructuras metálicas, herreros, elaboradores de herramientas y afines</t>
  </si>
  <si>
    <t>74 - Mecánicos y ajustadores de maquinaria</t>
  </si>
  <si>
    <t>75 - Trabajadores especializados en electricidad y electrotecnología</t>
  </si>
  <si>
    <t>76 - Mecánicos de precisión en metales, ceramistas, vidrieros, artesanos y trabajadores de artes gráficas</t>
  </si>
  <si>
    <t>77 - Trabajadores de la industria de la alimentación, bebidas y tabaco</t>
  </si>
  <si>
    <t>78 - Trabajadores de la madera, textil, confección, piel, cuero, calzado y otros operarios en oficios</t>
  </si>
  <si>
    <t>81 - Operadores de instalaciones y maquinaria fijas</t>
  </si>
  <si>
    <t>82 - Montadores y ensambladores en fábricas</t>
  </si>
  <si>
    <t>83 - Maquinistas de locomotoras, operadores de maquinaria agrícola y de equipos pesados móviles, y marineros</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</si>
  <si>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</si>
  <si>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</si>
  <si>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</si>
  <si>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</si>
  <si>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servicios</t>
  </si>
  <si>
    <t>95 - Peones agrarios, forestales y de la pesca</t>
  </si>
  <si>
    <t>96 - Peones de la construcción y de la minería</t>
  </si>
  <si>
    <t>97 - Peones de las industrias manufactureras</t>
  </si>
  <si>
    <t>98 - Peones del transporte, descargadores y reponedores</t>
  </si>
  <si>
    <t>Brecha (% de ocupaciones)</t>
  </si>
  <si>
    <t>Masculinizadas</t>
  </si>
  <si>
    <t>Feminizadas</t>
  </si>
  <si>
    <t>En equilibrio</t>
  </si>
  <si>
    <t>3.5. Tasa de contratos a tiempo parcial</t>
  </si>
  <si>
    <t>Total población ocupada (N)</t>
  </si>
  <si>
    <t>Total (N)</t>
  </si>
  <si>
    <t>Total ocupados tiempo parcial (N)</t>
  </si>
  <si>
    <t>Tasa contratación tiempo parcial</t>
  </si>
  <si>
    <t>Total (%)</t>
  </si>
  <si>
    <t>3.6. Porcentaje de personas ocupadas en puestos no cualificados</t>
  </si>
  <si>
    <t>3.7. Paro Registrado</t>
  </si>
  <si>
    <t>Brecha (N)</t>
  </si>
  <si>
    <t>3.8. Personas afiliadas en el sistema especial para "Empleados de hogar"</t>
  </si>
  <si>
    <t>3.9. Personas inscritas en la Agencia para el Empleo</t>
  </si>
  <si>
    <t>_</t>
  </si>
  <si>
    <t>Diferencia entre la tasa femenina y la tasa masculina. Un valor negativo en la brecha indica que hay menos mujeres activas que hombres. El valor ideal es que hombres y mujeres participen por igual en el mercado de trabajo y que la diferencia tienda a cero. Ejemplo: En 2022, la tasa de actividad de las mujeres era 5,6 puntos porcentuales inferior a la de los hombres.</t>
  </si>
  <si>
    <t>Para la ciudad de Madrid.</t>
  </si>
  <si>
    <t>INE, Encuesta de Población Activa. Elaboración Subdirección General de Estadística del Ayuntamiento de Madrid</t>
  </si>
  <si>
    <t>Variables de interés para representar la diversidad de mujeres: Edad, nacionalidad, estado civil, nivel de formación alcanzado, rama de actividad y sector económico.</t>
  </si>
  <si>
    <t>No se incluye en el Panel Distrital de Indicadores de Género</t>
  </si>
  <si>
    <t>Diferencia entre la tasa femenina y la tasa masculina. Un valor negativo en la brecha indica que hay menos mujeres ocupadas que hombres. El valor ideal es que no haya diferencias entre las tasas de hombres y mujeres, que esa diferencia tienda a cero. Ejemplo: En 2022, la tasa de empleo de las mujeres era 8,1 puntos porcentuales inferior a la de los hombres.</t>
  </si>
  <si>
    <t>Para la ciudad de Madrid</t>
  </si>
  <si>
    <t xml:space="preserve">No se incluye en el Panel Distrital de Indicadores de Género </t>
  </si>
  <si>
    <t>Diferencia entre la tasa femenina y la tasa masculina. Un valor positivo indicaría feminización en el desempleo. Ejemplo: En 2022, la tasa de paro de las mujeres es 3,9 puntos porcentuales superior a la de los hombres.</t>
  </si>
  <si>
    <t>Variables de interés para representar la diversidad de mujeres: Edad, nacionalidad, estado civil, nivel de formación alcanzado</t>
  </si>
  <si>
    <t>Se incluye en el Panel Distrital de Indicadores de Género la Tasa absoluta de Paro</t>
  </si>
  <si>
    <t>Población ocupada según tipo de ocupación, siguiendo la Clasificación Nacional de Ocupaciones, CON-11 a 2 dígitos, por sexo.
Los criterios de clasificación utilizados son el tipo de trabajo realizado y las competencias. Se entiende por competencias la capacidad para desempeñar las tareas inherentes a un empleo determinado, para lo cual se tienen en cuenta dos puntos vista: el nivel y la especialización de las competencias. A partir de estos datos se calcula el porcentaje de distribución de mujeres para cada ocupación.</t>
  </si>
  <si>
    <t>La brecha se muestra en la "horquilla de paridad" que abarca entre el 40% y el 60%, siendo el valor deseable que hombres y mujeres estén en torno al 50%. El indicador muestra el porcentaje del total de ocupaciones que están masculinizadas (las mujeres representan menos del 40%), feminizadas (las mujeres representan más del 60%), y en equilibrio (las mujeres representan entre el 40% y el 60%). 
El valor ideal sería un equilibro entre la población masculina y femenina presente dentro de todas las ocupaciones, siempre que haya diferencias será un síntoma de segregación por sexo en el mercado de trabajo.</t>
  </si>
  <si>
    <t xml:space="preserve">INE, Censo de Población y Viviendas 2011, 2021. </t>
  </si>
  <si>
    <t>Variables de interés para representar la diversidad de mujeres: Edad, nacionalidad, país de nacimiento, lugar de residencia, nivel de estudios alcanzado, situación profesional, lugar de trabajo.</t>
  </si>
  <si>
    <t xml:space="preserve">Se incluye en el Panel Distrital de Indicadores de Género </t>
  </si>
  <si>
    <t>Porcentaje de personas ocupadas con contrato de jornada a tiempo parcial sobre el total de la población ocupada por sexo</t>
  </si>
  <si>
    <t>Diferencia entre la tasa femenina y la masculina. Un valor positivo indica que hay más mujeres en esta fórmula de contratación. El valor ideal es el equilibrio entre hombres y mujeres en cualquier tipo de contratación. Ejemplo: En 2023, la tasa de contratos a tiempo parcial en las mujeres era del 17%, frente al 6,9% en el caso de los hombres, lo que supone una brecha de 10,1 puntos porcentuales.</t>
  </si>
  <si>
    <t xml:space="preserve">3.6. Porcentaje de personas ocupadas en puestos no cualificados </t>
  </si>
  <si>
    <t xml:space="preserve">Porcentaje de personas ocupadas en puestos poco cualificados (gran grupo de ocupación 9 "Ocupaciones elementales" de la CNO11), en función de la concentración de cada sexo y total respecto al total de la población ocupada. </t>
  </si>
  <si>
    <t xml:space="preserve">Diferencia entre la concentración femenina y la concetración masculina, respecto a su presencia en puestos no cualificados. Un valor positivo en la brecha indica que las mujeres tienen mayor presencia que los hombres en ese grupo ocupacional. Ejemplo: En 2022, el porcentaje de mujeres ocupadas en puestos no cualificados supera a los hombres en 8,9 puntos porcentuales. </t>
  </si>
  <si>
    <t>3.7. Paro registrado</t>
  </si>
  <si>
    <t>Número de personas registradas como paradas al mes de junio de cada año por cada sexo</t>
  </si>
  <si>
    <t>La brecha se representa como diferencia entre el número de paradas y parados, y como porcentaje de mujeres paradas sobre el total. Un valor positivo en la brecha en el número de personas paradas indica  feminización en el desempleo, al igual que un porcentaje de mujeres paradas superior al 50%. En términos ideales, el nivel de paro debería ser similar entre hombres y mujeres. Ejemplo: en junio de 2023 había una brecha de 22.764 mujeres paradas más que hombres, es decir, del total de personas paradas, el 58% eran mujeres.</t>
  </si>
  <si>
    <t>A partir de enero de 2014 se ha ajustado el criterio de selección de demandantes de empleo que aplica el Servicio Público de Empleo Estatal (SEPE)...Hasta esa fecha se venían seleccionando demandantes inscritos/as en oficinas de empleo ubicadas en el municipio y ahora se pasa a seleccionar a demandantes cuyo municipio del domicilio de residencia sea Madrid.</t>
  </si>
  <si>
    <r>
      <t>Servicio Público de Empleo Estatal (SEPE)</t>
    </r>
    <r>
      <rPr>
        <u/>
        <sz val="11"/>
        <color theme="9" tint="-0.249977111117893"/>
        <rFont val="Calibri"/>
        <family val="2"/>
        <scheme val="minor"/>
      </rPr>
      <t>*</t>
    </r>
    <r>
      <rPr>
        <u/>
        <sz val="11"/>
        <color theme="10"/>
        <rFont val="Calibri"/>
        <family val="2"/>
        <scheme val="minor"/>
      </rPr>
      <t xml:space="preserve">. Elaboración Subdirección General de Estadística del Ayuntamiento de Madrid. Datos 2005-2010 Servicio Público de Empleo Estatal. Elaboración: Subdirección General de Estadística. Ayuntamiento de Madrid </t>
    </r>
  </si>
  <si>
    <t>Variables de interés para representar la diversidad de mujeres: Edad, nacionalidad, discapacidad, estado civil, nivel de formación alcanzado, ocupación, sector de actividad.</t>
  </si>
  <si>
    <t>3.8. Personas afiliadas en el sistema especial de "Empleados de hogar"</t>
  </si>
  <si>
    <t>Número de personas en alta en la seguridad social en el régimen especial de "Empleados de hogar" en el mes de diciembre de cada año</t>
  </si>
  <si>
    <t>La brecha se representa en datos absolutos (N) y en distribución (% de mujeres). La primera hace referencia a la diferencia en valores absolutos entre afiliadas mujeres y afiliados hombres. La segunda brecha, indica el porcentaje de mujeres en relación al total de afiliaciones en el sistema especial de "Empleados de hogar". El ideal es el equilibrio en la representación lo más cercana al 50% de cada sexo porque indicaría que no hay segregación por sexo en este tipo de afiliación en el mercado de trabajo. Ejemplo: en 2023 el 96% de las personas afiliadas al régimen especial de empleo de hogar eran mujeres.</t>
  </si>
  <si>
    <t>Datos 2010:  Tesorería General de la Seguridad Social y Dirección General de Economía, Estadística e Innovación Tecnológica de la Comunidad de Madrid. Elaboración Subdirección General de Estadística del Ayuntamiento de Madrid.</t>
  </si>
  <si>
    <t>Datos 2015 - 2023: Estadística de afiliación de trabajadores a la Seguridad Social. Ministerio de Inclusión, Seguridad Social y Migraciones</t>
  </si>
  <si>
    <t>No aplica.</t>
  </si>
  <si>
    <t>Número de personas inscritas en la Agencia para el Empleo para poder acceder a sus servicios, por sexo</t>
  </si>
  <si>
    <t>La brecha se representa en datos absolutos (N) y en distribución (% de mujeres). La primera hace referencia a la diferencia en valores absolutos entre mujeres y hombres inscritos en la Agencia para el Empleo, donde un valor en positivo significa una sobrerrepresentación de la población femenina inscrita en la Agencia para el Empleo. La segunda brecha indica el porcentaje de mujeres en relación al total, donde un porcentaje mayor al 50% significaría una feminización. Ejemplo: en 2022 el 66% de las personas inscritas en la Agencia para el Empleo eran mujeres.</t>
  </si>
  <si>
    <t>Agencia para el Empleo. Perfiles de personas inscrita. Conjunto de datos disponible en Portal de datos abiertos del Ayuntamiento de Madrid.</t>
  </si>
  <si>
    <t>Variables de interés para representar la diversidad de mujeres: Año de nacimiento, nacionalidad y el objetivo profesional</t>
  </si>
  <si>
    <t>4. RENTA, PROTECCIÓN SOCIAL, POBREZA Y VIVIENDA</t>
  </si>
  <si>
    <t>4.1 Salario bruto medio por hora (€)</t>
  </si>
  <si>
    <t>Ambos sexos (€)</t>
  </si>
  <si>
    <t>Hombres (€)</t>
  </si>
  <si>
    <t>Mujeres (€)</t>
  </si>
  <si>
    <t>Brecha (€)</t>
  </si>
  <si>
    <t>Brecha (%)</t>
  </si>
  <si>
    <t>4.2 Importe medio mensual de pensiones contributivas (€)</t>
  </si>
  <si>
    <t>4.3 Tasa de riesgo de pobreza o exclusión social (Indicador AROPE)</t>
  </si>
  <si>
    <t>4.4 Tasa de riesgo de pobreza</t>
  </si>
  <si>
    <t>4.5 Porcentaje de la población con dificultad o mucha dificultad para llegar a final de mes</t>
  </si>
  <si>
    <t>4.6 Tasa de riesgo de pobreza del total de hogares y de los hogares monoparentales/monomarentales (%)</t>
  </si>
  <si>
    <t>Total hogares (%)</t>
  </si>
  <si>
    <t>Hogares monoparentales y monomarentales (%)</t>
  </si>
  <si>
    <t>Protección Social</t>
  </si>
  <si>
    <t>4.7 Porcentaje de la población parada que percibe prestación por desempleo (%)</t>
  </si>
  <si>
    <t>4.8  Solicitantes y perceptores/as de la Renta mínima inserción (N)</t>
  </si>
  <si>
    <t>Solicitantes</t>
  </si>
  <si>
    <t>Perceptores/as</t>
  </si>
  <si>
    <t>2024 (enero)</t>
  </si>
  <si>
    <t>4.9 Personas beneficiarias del Ingreso Mínimo Vital (N)</t>
  </si>
  <si>
    <t>4.10 Personas atendidas en Atención Social Primaria de Centros de Servicios Sociales</t>
  </si>
  <si>
    <t>4.11 Hogares con vivienda en propiedad según sexo de la persona responsable del hogar (%)</t>
  </si>
  <si>
    <t>4.12 Población que no puede permitirse mantener la vivienda con una temperatura adecuada (%)</t>
  </si>
  <si>
    <t>4.13 Población que ha tenido retrasos en el pago de gastos relacionados con la vivienda en los últimos 12 meses (%)</t>
  </si>
  <si>
    <t>4.1. Salario bruto medio por hora (€)</t>
  </si>
  <si>
    <t>Ganancia media por hora normal de trabajo, en euros, entre las personas trabajadoras por cuenta ajena, por sexo. 
La información se obtiene de la explotación conjunta del Fichero General de Afiliación de la Seguridad Social (SS) y de las declaraciones del Modelo 190: Resumen anual de Retenciones e Ingresos a Cuenta del IRPF de la Agencia Estatal de la Administración Tributaria (AEAT), junto con las variables ocupación y tiempo de trabajo provenientes de la encuesta anexa a la Encuesta Trimestral de Coste Laboral (ETCL) del INE.</t>
  </si>
  <si>
    <t>Se incluyen dos brechas: Diferencia en euros (Brecha €) y diferencia porcentual (Brecha %) entre el  salario bruto medio femenino respecto del masculino. La diferencia, en una situación de igualdad debería tender a cero. Un valor negativo indica desigualdad, en términos absolutos o porcentuales entre los salarios de las mujeres respecto a los de los hombres.  Ejemplo: En 2022, el salario de las mujeres era un 10,9% menor que el de los hombres.</t>
  </si>
  <si>
    <t>Encuesta de Estructura Salarial y Encuesta de Condiciones de Vida (INE). Elaboración Subdirección General de Estadística del Ayuntamiento de Madrid, a partir de la explotación de la Dirección General de Estadística del Ayuntamiento de Madrid (Índice de Desigualdad de Género).</t>
  </si>
  <si>
    <t>Variables de interés para representar la diversidad de mujeres: Edad, nacionalidad, tipo de jornada, tipo de contrato y ocupación.</t>
  </si>
  <si>
    <t>4.2. Importe medio mensual de pensiones contributivas (€)</t>
  </si>
  <si>
    <t>Importe medio en euros de las pensiones contributivas en alta en el Sistema Nacional de la Seguridad Social al 1 de enero de cada año. Se presentan los promedios de los importes mensuales de pensiones contributivas, recibidos por todos/as las pensionistas de la ciudad de Madrid, diferenciado por sexo.</t>
  </si>
  <si>
    <t>Se incluyen dos brechas: Diferencia en euros (Brecha €) y diferencia porcentual (Brecha %) entre las pensiones de las mujeres y las de los hombres. La diferencia, en una situación de igualdad debería tender a cero. Un valor negativo indica desigualdad, en términos absolutos o porcentuales, entre las pensiones de las mujeres respecto a las de los hombres. Ejemplo: En 2022,el importe medio mensual de pensiones recibidas por mujeres es un 31,2% menor al importe medio mensual percibido por los hombres.</t>
  </si>
  <si>
    <t>2010 - 2015: Muestra Continua de Vidas Laborales (2007 a 2018)</t>
  </si>
  <si>
    <t>2020 - 2023: Registro de Prestaciones Sociales Públicas (INSS), Instituto de Estadística de la Comunidad de Madrid.</t>
  </si>
  <si>
    <t>Variables de interés para representar la diversidad de mujeres: Edad, clase de prestación, régimen.</t>
  </si>
  <si>
    <t>4.3. Tasa de riesgo de pobreza o exclusión social (Indicador AROPE)</t>
  </si>
  <si>
    <t>Se define como el porcentaje de la población (por sexo) que se encuentra al menos en alguna de estas tres situaciones: 1) En riesgo de pobreza (no cambia definición) ; 2) En situación de carencia material y social severa (incluye carencia social) ; o 3) Baja intensidad en el empleo. Hasta el 2020 se incluye la Tasa de  riesgo de pobreza estrategia Europa 2020. En el año 2021 el indicador adopta esta nueva definición en coherencia con la Estrategia Europea 2030.</t>
  </si>
  <si>
    <t>Diferencia entre la tasa femenina respecto a la tasa masculina. Un valor positivo en esta brecha, indica que el riesgo de pobreza o exclusión social es mayor en la población femenina. Ejemplo: En 2022, la tasa de riesgo de pobreza o exclusión social de las mujeres es 5,5 puntos porcentuales superior a la de los hombres.</t>
  </si>
  <si>
    <t>2010 - 2020: INE, Encuesta de Condiciones de Vida. Elaboración por la Subdirección General de Estadística del Ayuntamiento de Madrid.</t>
  </si>
  <si>
    <t>2021 - 2022: INE, Encuesta de Condiciones de Vida. Elaboración por la Subdirección General de Estadística del Ayuntamiento de Madrid.</t>
  </si>
  <si>
    <t>Variables de interés para representar la diversidad de mujeres: Edad, nacionalidad, nivel de formación alcanzado, tipo y tamaño de hogar, decil de renta.</t>
  </si>
  <si>
    <t xml:space="preserve">4.4. Tasa de riesgo de pobreza </t>
  </si>
  <si>
    <t>Porcentaje de personas por debajo del umbral de la pobreza, es decir, personas cuyos ingresos por unidad de consumo (escala OCDE modificada) son inferiores al 60% de la mediana de los ingresos, según el umbral de Madrid, por sexo</t>
  </si>
  <si>
    <t>Diferencia entre la tasa femenina sobre la tasa masculina. Un valor positivo en esta brecha, indica que el riesgo de pobreza es mayor en la población femenina que en la masculina. Ejemplo: En 2022, la tasa de riesgo de pobreza femenina es 4,9 puntos porcentuales superior a la masculina.</t>
  </si>
  <si>
    <t>INE, Encuesta de Condiciones de Vida. Elaboración por la Subdirección General de Estadística del Ayuntamiento de Madrid.</t>
  </si>
  <si>
    <t>4.5. Porcentaje de la población con dificultad o mucha dificultad para llegar a final de mes</t>
  </si>
  <si>
    <t>Autopercepción del grado de dificultades económicas a las que se enfrentan los hogares para llegar a fin de mes, por sexo.</t>
  </si>
  <si>
    <t>Diferencia entre el porcentaje de población femenina y el porcentaje de población masculina que tiene dificultad o mucha dificultad para llegar a final de mes. Un valor positivo en esta brecha indica que el porcentaje de la población femenina con dificultad para llegar a final de mes es mayor al porcentaje de la población masculina. Ejemplo: En 2022, el porcentaje de mujeres con dificultad o mucha dificultad para llegar a final de mes, es mayor que el porcentaje de hombres en 2,6 puntos porcentuales.</t>
  </si>
  <si>
    <t xml:space="preserve">INE, Encuesta de Condiciones de Vida. Elaboración por la Subdirección General de Estadística del Ayuntamiento de Madrid </t>
  </si>
  <si>
    <t xml:space="preserve">4.6. Tasa de riesgo de pobreza del total de hogares y de los hogares monoparentales/monomarentales </t>
  </si>
  <si>
    <t xml:space="preserve">Porcentaje de hogares monoparentales/monomarentales por debajo del umbral de la pobreza, es decir, con ingresos inferiores al 60% de la mediana de los ingresos anuales por unidad de consumo (escala OCDE modificada), por sobre el total de hogares de la ciudad de Madrid. </t>
  </si>
  <si>
    <t>Diferencia entre la tasa de riesgo del total de hogares y la tasa de riesgo de los hogares monoparentales/ monomarentales. Un valor positivo indica que la diferencia es a favor de los hogares monoparentales/monoparentales, los cuales son en su mayoría monomarentales (Indicador 2.5.). Ejemplo: En 2022, la tasa de riesgo de pobreza en hogares monoparentales/monomarentales es un 17,7% más alta que la tasa de riesgo de pobreza del total de hogares.</t>
  </si>
  <si>
    <t>INE, Encuesta de Condiciones de Vida. Elaboración por la Subdirección General de Estadística del Ayuntamiento de Madrid</t>
  </si>
  <si>
    <t>Se utiliza la tasa de riesgo de pobreza sin alquiler imputado.</t>
  </si>
  <si>
    <t>4.7. Porcentaje de la población parada que percibe prestación por desempleo</t>
  </si>
  <si>
    <t xml:space="preserve">Porcentaje de población parada que percibe prestación por desempleo a diciembre de cada año. Se presentan porcentajes de concentración del total y de cada sexo. </t>
  </si>
  <si>
    <t>Diferencia entre el porcentaje de mujeres paradas y hombres parados que perciben prestación por desempleo. Un valor negativo indica que la proporción de mujeres paradas que reciben una prestación por desempleo es menor que la proporción de hombres. Ejemplo: en diciembre de 2023, el 49% de los hombres parados recibía prestación por desempleo frente al 41,2% de las mujeres paradas, por lo que la brecha respecto a los hombres es de 7,8 puntos porcentuales.</t>
  </si>
  <si>
    <t>Servicio Público de Empleo Estatal. Elaboración Subdirección General de Estadística. Ayuntamiento de Madrid</t>
  </si>
  <si>
    <t>Variables de interés para representar la diversidad de mujeres: Edad, Ocupación y Sector Actividad, Nivel educativo/formativo, Nacionalidad y País de nacimiento</t>
  </si>
  <si>
    <t>Se incluye en el Panel Distrital de Indicadores de Género de Distritos</t>
  </si>
  <si>
    <t>4.8. Solicitantes y perceptoras/es de la Renta Mínima de Inserción</t>
  </si>
  <si>
    <t>Personas solicitantes y perceptoras de la Renta Mínima de Inserción a 31 de diciembre de cada año, por sexo</t>
  </si>
  <si>
    <t>Se incluyen dos brechas: Brecha (N) y  el porcentaje de mujeres. La primera hace referencia a la diferencia en valores absolutos entre el total de titulares mujeres y el de hombres, donde un valor positivo en la brecha, significa que entre las personas titulares de RMI hay más mujeres. La segunda brecha, indica el porcentaje de mujeres en relación al total, donde un porcentaje mayor al 50% significa una mayoría de mujeres en el indicador; es decir, un indicador de feminización de la vulnerabilidad social ante el riesgo o situación de pobreza</t>
  </si>
  <si>
    <t xml:space="preserve">Informes de la Renta Mínima de Inserción de la Comunidad de Madrid. Consejería de Familia, Juventud y Política Social. </t>
  </si>
  <si>
    <t>4.9. Personas beneficiarias del Ingreso Mínimo Vital (N)</t>
  </si>
  <si>
    <t>Personas beneficiarias del Ingreso Mínimo Vital según sexo. Datos acumulados de altas iniciales del ingreso mínimo vital que han figurado en nómina en la Comunidad de Madrid.</t>
  </si>
  <si>
    <t>Se incluyen dos brechas: la diferencia entre el número de mujeres y de hombres beneficiarias/os y el porcentaje de mujeres beneficiarias. La primera hace referencia a la diferencia en valores absolutos entre el total de beneficiarias mujeres y el de hombres, donde un valor positivo en la brecha, significa que entre las personas beneficiarias del IMV hay más mujeres  La segunda brecha, indica el porcentaje de mujeres en relación al total, donde un porcentaje mayor al 50% significa una mayoría de mujeres en el indicador; es decir, un indicador de feminización de la vulnerabilidad social ante el riesgo o situación de pobreza</t>
  </si>
  <si>
    <t>Acumulado de Junio de 2020 a diciembre de 2022, Comunidad de Madrid</t>
  </si>
  <si>
    <t>Estadísticas del Ingreso Mínimo Vital. Seguridad Social. Ministerio de Inclusión, Seguridad Social y Migraciones. Gobierno de España.</t>
  </si>
  <si>
    <t>Se utiliza el Informe IMV - Altas acumuladas según CA y provincia. Enero 2024</t>
  </si>
  <si>
    <t>Variables de interés para representar la diversidad de mujeres: Tipo de Hogar</t>
  </si>
  <si>
    <t>4.10. Personas atendidas en Atención Social Primaria de Centros de Servicios Sociales</t>
  </si>
  <si>
    <t>Personas atendidas en la red de los Centros de Servicios Sociales municipales de Atención Social Primaria, por sexo.</t>
  </si>
  <si>
    <t>Se incluyen dos brechas: la diferencia entre el número de mujeres y de hombres en atención social y el porcentaje de mujeres atendidas sobre el total. La primera hace referencia a la diferencia en valores absolutos entre mujeres y hombres que se atienden en Centros de Servicios Sociales, donde un valor en positivo de la brecha, significa que hay una sobrerrepresentación de mujeres entre las personas atendidas. La segunda brecha, indica el porcentaje de mujeres en relación a la población total, donde un porcentaje mayor al 50% significa una mayoría de mujeres en el indicador. Por ejemplo, el 62,4% de las personas atendidas en los servicios sociales de atención primaria en 2023 eran mujeres.</t>
  </si>
  <si>
    <t>Dirección General de Atención Primaria, Intervención Comunitaria y Emergencia Social. Conjunto de datos disponible en Portal de datos abiertos del Ayuntamiento de Madrid.</t>
  </si>
  <si>
    <t>Variables de interés para representar la diversidad de mujeres: Tramo de edad, Nacionalidad, Distrito.</t>
  </si>
  <si>
    <t>4.11. Hogares con vivienda en propiedad según sexo de la persona de referencia del hogar</t>
  </si>
  <si>
    <t>Porcentaje de hogares con vivienda en propiedad según sexo de la persona de referencia del hogar.</t>
  </si>
  <si>
    <t>Diferencia entre el porcentaje de hogares cuya persona de referencia es mujer y el porcentaje de hogares cuya persona de referencia es hombre, que tienen vivienda en propiedad. Un valor negativo en la brecha indica que las mujeres son propietarias en menor medida que los hombres. La situación deseable es que fuesen titulares en propiedad en la misma proporción mujeres y hombres. Ejemplo: En 2022, el porcentaje de hogares con persona de referencia mujer con vivienda en propiedad, es menor que el porcentaje de hogares con persona de referencia hombre por 1,5 puntos porcentuales.</t>
  </si>
  <si>
    <t>Variables de interés para representar la diversidad de mujeres: Nacionalidad persona referencia del hogar; Edad persona referencia del hogar; Tipo de hogar.</t>
  </si>
  <si>
    <t xml:space="preserve">4.12. Población que no puede permitirse mantener la vivienda con una temperatura adecuada </t>
  </si>
  <si>
    <t>Porcentaje de personas que tienen problemas para mantener su vivienda con temperatura adecuada según el sexo de la persona de referencia del hogar.</t>
  </si>
  <si>
    <t>Diferencia entre la proporción mujeres y de hombres que no pueden mantener su vivienda a una temperatura adecuada. Un valor positivo en la brecha indica que hay un mayor número de mujeres que no pueden mantener la vivienda a una temperatura adecuada. El valor positivo de la brecha indica la feminización de este indicador de pobreza energética</t>
  </si>
  <si>
    <t>2010 - 2015: INE, Encuesta de Condiciones de Vida. Elaboración por la Subdirección General de Estadística, Ayuntamiento de Madrid</t>
  </si>
  <si>
    <t xml:space="preserve">2020 - 2022: INE, Encuesta de Condiciones de Vida. Elaboración por la Subdirección General de Estadística del Ayuntamiento de Madrid </t>
  </si>
  <si>
    <t>4.13. Población que ha tenido retrasos en pago de gastos relacionados con la vivienda en los últimos 12 meses</t>
  </si>
  <si>
    <t xml:space="preserve">Porcentaje de personas han tenido retraso en el pago de gastos relacionados con la vivienda principal el último año, según el sexo </t>
  </si>
  <si>
    <t>Diferencia entre la proporción de mujeres y la de hombres que han tenido retrasos en el pago de los gastos relacionados con la vivienda en el último año. Un valor positivo en la brecha indica que hay un mayor número de mujeres que de hombres que han tenido dificultades. El valor positivo de la brecha indica la feminización de este indicador de vulnerabilidad social y riesgo de pobreza</t>
  </si>
  <si>
    <t>5. SALUD</t>
  </si>
  <si>
    <t>5.1 Esperanza de vida al nacer (años)</t>
  </si>
  <si>
    <t>Brecha (años)</t>
  </si>
  <si>
    <t>5.2 Esperanza de vida en buena salud (años)</t>
  </si>
  <si>
    <t>5.3 Estado de salud percibida (buena o muy buena) (%)</t>
  </si>
  <si>
    <t>5.4 Población que padece algún problema crónico de salud (%)</t>
  </si>
  <si>
    <t>5.5 Población con riesgo de mala salud mental (%)</t>
  </si>
  <si>
    <t>5.6 Personas con discapacidad reconocida</t>
  </si>
  <si>
    <t>Total por mil habitantes</t>
  </si>
  <si>
    <t>Hombres por mil habitantes</t>
  </si>
  <si>
    <t>Mujeres por mil habitantes</t>
  </si>
  <si>
    <t>Brecha (puntos x mil habitantes)</t>
  </si>
  <si>
    <t>65 a 74 años</t>
  </si>
  <si>
    <t>75 a 84 años</t>
  </si>
  <si>
    <t>85 años y más</t>
  </si>
  <si>
    <t>5.1 Esperanza de vida al nacer</t>
  </si>
  <si>
    <t xml:space="preserve">Nº medio de años que puede esperar vivir una persona al nacer en la ciudad de Madrid, si las tasas de mortalidad por edades, registradas en el momento de su nacimiento, se mantuvieran constantes durante toda su vida, por sexo. </t>
  </si>
  <si>
    <t>Diferencia en la esperanza de vida (en años) entre mujeres y hombres. Un valor positivo en la brecha indica que las mujeres son más longevas que los hombres (viven más años). Ejemplo, en 2021, las mujeres vivían una media de 5,8 años más que los hombres.</t>
  </si>
  <si>
    <t>Área de Gobierno de Economía y Hacienda. Subdirección General de Estadística. Padrón Municipal de Habitantes</t>
  </si>
  <si>
    <t>Variables de interés para representar la diversidad de mujeres: Edad, nacionalidad, país de origen, estado civil.</t>
  </si>
  <si>
    <t>5.2 Esperanza de vida en buena salud</t>
  </si>
  <si>
    <t>N.º medio de años que puede esperar vivir con buena salud una persona al nacer en la ciudad de Madrid, por sexo.</t>
  </si>
  <si>
    <t>Diferencia de años con buena salud entre mujeres y hombres. Un valor negativo en la brecha indica que las mujeres viven menos años que los hombres con buena salud. Por ejemplo, en 2021 las mujeres vivían de media 1,2 años menos que los hombres con buena salud.</t>
  </si>
  <si>
    <t>Estudios de Salud de la Ciudad de Madrid, 2014, 2018, 2022. Madrid Salud. Nota: La EVBS del 2005 corresponde a datos del 2004, obtenidos del Estudio de Salud de la Ciudad de Madrid 2008. La EVBS del Estudio de Salud de la Ciudad de Madrid 2014 fue la del año 2012.</t>
  </si>
  <si>
    <t>Variables de interés para representar la diversidad de mujeres: Edad, nacionalidad, país de origen, situación laboral, nivel de estudios, clase social (construcción realizada por el estudio)</t>
  </si>
  <si>
    <t>5.3 Estado de salud percibida (buena o muy buena)</t>
  </si>
  <si>
    <t>Porcentaje de personas que perciben su salud como buena o muy buena, por sexo.</t>
  </si>
  <si>
    <t>Diferencia entre el porcentaje de mujeres respecto al de hombres que perciben su salud como buena o muy buena. Un valor negativo en la brecha indica que las mujeres perciben su propia salud peor en comparación con los hombres. Por ejemplo, en 2021 el 76,7% de los hombres valoraban su salud como buena o muy buena, frente al 66,2% de las mujeres, por lo que hay una brecha de 9,5 puntos porcentuales entre mujeres y hombres.</t>
  </si>
  <si>
    <t>Estudios de Salud de la Ciudad de Madrid, 2014, 2018, 2022. Madrid Salud.</t>
  </si>
  <si>
    <t>Nota: los datos de salud autopercibida obtenidos en la Encuesta de Salud de la Ciudad de Madrid 2005, no son comparables ya las categorías que se utilizan para caracterizar un buen estado de salud percibida son "Excelente-Muy bueno-Bueno”.</t>
  </si>
  <si>
    <t>Variables de interés para representar la diversidad de mujeres: Edad, nacionalidad, nivel de estudios, situación laboral, clase social (construcción realizada por el estudio)</t>
  </si>
  <si>
    <t>5.4 Población que padece algún problema crónico de salud</t>
  </si>
  <si>
    <t>Porcentaje de población que padece algún problema crónico de salud, por sexo.
Las enfermedades crónicas son enfermedades de larga duración y por lo general de progresión lenta. No está estipulado el plazo determinado para decidir que una enfermedad es crónica, sin embargo, se suele considerar como tal a cualquiera que dure más de seis meses.</t>
  </si>
  <si>
    <t>Diferencia entre el porcentaje de mujeres en relación al porcentaje de hombres que padecen algún problema crónico de salud. Un valor positivo en la brecha indica que las mujeres padecen en mayor medida problemas crónicos de salud. Por ejemplo, en 2021 el 74,5% de las mujeres padecían algún problema crónico de salud, frente al 63,4% de los hombres, existiendo por tanto una brecha de 11,2 puntos porcentuales.</t>
  </si>
  <si>
    <t>Variables de interés para representar la diversidad de mujeres: Edad, nivel de estudios, situación laboral, clase social (construcción realizada por el estudio), distrito de residencia.</t>
  </si>
  <si>
    <t>5.5 Población con riesgo de mala salud mental</t>
  </si>
  <si>
    <t>Porcentaje de población que tiene riesgo de mala salud mental, por sexo. 
El riesgo de mala salud mental en la población adulta se valora mediante el cuestionario de salud general de Goldberg GHQ-12, que permite detectar la prevalencia de casos probables de morbilidad psiquiátrica o de padecimiento psicológico.</t>
  </si>
  <si>
    <t>Diferencia entre el porcentaje de mujeres en relación al porcentaje de hombres que tienen riesgo de mala salud mental. Un valor positivo en la brecha indica que las mujeres tienen más riesgo de peor salud mental. Por ejemplo, en 2021 el 29,7% de las mujeres presentaban indicadores de riesgo de mala salud mental, frente al 18,5% de los hombres, lo que supone una brecha de 11,2 puntos porcentuales.</t>
  </si>
  <si>
    <t>Variables de interés para representar la diversidad de mujeres: Edad, nivel de estudios, situación laboral, clase social (construcción realizada por el estudio)</t>
  </si>
  <si>
    <t>Personas con discapacidad reconocida según sexo. Se considera persona con discapacidad aquella que ha sido evaluada con un grado de discapacidad igual o superior al 33%.</t>
  </si>
  <si>
    <t>Se muestran dos brechas: 1) porcentaje de mujeres con discapacidad reconocida respecto del total de población con discapacidad reconocida; 2) Diferencia en puntos por mil habitantes entre las tasas de discapacidad reconocida de mujeres y hombres (en tantos por 1000). Los datos de la serie de este indicador muestran que hay más mujeres que hombres con discapacidad reconocida.</t>
  </si>
  <si>
    <t>Dirección General de Economía de la CAM. Base de Datos del Reconocimiento del Grado de Discapacidad. Consejería de Políticas Sociales, Familia, Igualdad y Natalidad. Comunidad de Madrid. Población de referencia: Ayuntamiento Madrid. PMH</t>
  </si>
  <si>
    <t>Variables de interés para representar la diversidad de mujeres: Tipo de discapacidad, edad.</t>
  </si>
  <si>
    <t>6. CUIDADOS Y CORRESPONSABILIDAD</t>
  </si>
  <si>
    <t>6.1 Porcentaje de población que realiza actividades a diario según tipo de actividad</t>
  </si>
  <si>
    <t>Cuidados personales</t>
  </si>
  <si>
    <t>Trabajo remunerado</t>
  </si>
  <si>
    <t>Estudios</t>
  </si>
  <si>
    <t>Hogar y familia</t>
  </si>
  <si>
    <t>Trabajo voluntario y reuniones</t>
  </si>
  <si>
    <t>Vida social y diversión</t>
  </si>
  <si>
    <t>Deportes y actividades al aire libre</t>
  </si>
  <si>
    <t>Aficiones e informática</t>
  </si>
  <si>
    <t>Medios de comunicación</t>
  </si>
  <si>
    <t>Trayectos y empleo del tiempo no especificado</t>
  </si>
  <si>
    <t>Trayectos de ida o vuelta al trabajo</t>
  </si>
  <si>
    <t>6.2. Grado de participación en cuidados a menores o personas dependientes dentro del hogar</t>
  </si>
  <si>
    <t xml:space="preserve">    Me encargo de la mayor parte de los cuidados</t>
  </si>
  <si>
    <t xml:space="preserve">    Me encargo de una parte importante de los cuidados, compartiéndolos con otra/s personas</t>
  </si>
  <si>
    <t xml:space="preserve">    Me encargo de una pequeña parte de los cuidados</t>
  </si>
  <si>
    <t xml:space="preserve">    No hay personas menores ni personas dependientes en el hogar</t>
  </si>
  <si>
    <t xml:space="preserve">    No participio habitualmente en los cuidados</t>
  </si>
  <si>
    <t>6.3 Porcentaje de la población ocupada a tiempo parcial por cuidado de niños/as, adultos/as enfermos/as, incapacitados/as o mayores</t>
  </si>
  <si>
    <t>Hombres(%)</t>
  </si>
  <si>
    <t>6.4 Porcentaje de la población inactiva cuya situación de inactividad es "labores del hogar"</t>
  </si>
  <si>
    <t>6.5 Excedencias por cuidado de hijos/as</t>
  </si>
  <si>
    <t>Ambos progenitores</t>
  </si>
  <si>
    <t>Padres</t>
  </si>
  <si>
    <t>Madres</t>
  </si>
  <si>
    <t>6.6 Excedencias por cuidado de familiares</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</si>
  <si>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</si>
  <si>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</si>
  <si>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</si>
  <si>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</si>
  <si>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</si>
  <si>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</si>
  <si>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</si>
  <si>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</si>
  <si>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</si>
  <si>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</si>
  <si>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</si>
  <si>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</si>
  <si>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</si>
  <si>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</si>
  <si>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</si>
  <si>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</si>
  <si>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</si>
  <si>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t>
  </si>
  <si>
    <t>2023-2024</t>
  </si>
  <si>
    <t>2024-2025</t>
  </si>
  <si>
    <t>6.7 Población escolarizada en educación infantil de primero y segundo ciclo</t>
  </si>
  <si>
    <t>Total alumnado matriculado E. Infantil</t>
  </si>
  <si>
    <t>Tasa de cobertura ambos sexos (%)</t>
  </si>
  <si>
    <t>Tasa de cobertura niños (%)</t>
  </si>
  <si>
    <t>Tasa de cobertura niñas (%)</t>
  </si>
  <si>
    <t>6.1 Tiempo dedicado al hogar y a la familia en un día promedio</t>
  </si>
  <si>
    <t>Distribución por sexo del porcentaje de población que realiza actividades a diario. 
Se presenta información acerca del porcentaje de personas, de cada sexo, que realiza las distintas actividades. Las actividades son: Cuidados personales, trabajo remunerado, estudios, hogar y familia, trabajo voluntario y reuniones, vida social y diversión, deportes y actividades al aire libre, aficiones e informática, medios de comunicación, trayectos y empleo del tiempo no especificado, y trayectos de ida o vuelta al trabajo.</t>
  </si>
  <si>
    <t>Diferencia entre la proporción de mujeres y la de hombres que realizan actividades a diario, según tipo de actividad. Un valor negativo en la brecha indica que el porcentaje de mujeres que desarrolla dicha actividad es menor al porcentaje de hombres, mientras que un valor positivo indica que las mujeres desarrollan esa actividad en mayor proporción respecto a los hombres. Ejemplo: En 2009, el porcentaje de mujeres que realiza la actividad "hogar y familia", es un 13,4 puntos porcentuales mayor que el porcentaje de hombres, sin embargo, las mujeres pueden dedicar menos tiempo al trabajo remunerado (11,8 puntos porcentuales menos).</t>
  </si>
  <si>
    <t>Encuesta de empleo del tiempo, INE. Elaborado por SG de Estadística del Ayuntamiento de Madrid. Año 2009-2010.</t>
  </si>
  <si>
    <t>Variables de interés para representar la diversidad de mujeres: Edad, nacionalidad, país de origen, nivel educativo, estado civil, tipo de hogar, tamaño del hogar.</t>
  </si>
  <si>
    <t xml:space="preserve">6.2. Grado de participación en cuidados a menores o personas dependientes dentro del hogar </t>
  </si>
  <si>
    <t>Se presenta información del porcentaje de personas mayores de 16 años que conviven con otras personas por grado de participación en cuidados a menores o personas dependientes dentro del hogar, para cada sexo.</t>
  </si>
  <si>
    <t>Diferencia entre  el porcentaje de mujeres respecto al de hombres según su grado de participación en los cuidados. Un valor positivo en la brecha indica que el porcentaje de mujeres en la categoría es superior al de hombres, y al contrario, un valor negativo indica que la proporción de mujeres en esa categoría es menor que la de hombres. Por ejemplo, en 2021 las mujeres madrileñas se encargaban en mayor proporción de la mayor parte de los cuidados de menores y personas dependientes del hogar (11,6 puntos porcentuales más que los hombres). Sin embargo, la proporción de hombres que se encarga de una pequeña parte de los cuidados es mayor en 6 puntos porcentuales respecto a las mujeres.</t>
  </si>
  <si>
    <t>Encuesta de de Características Esenciales de la Población y las Viviendas (ECEPOV), Instituto Nacional de Estadística (INE). Elaborado por la SG de Estadística del Ayuntamiento de Madrid. Año 2021.</t>
  </si>
  <si>
    <t>Variables de interés para representar a diversidad de mujeres: edad.</t>
  </si>
  <si>
    <t>Población ocupada a tiempo parcial por sexo, cuyo motivo de la jornada parcial es el cuidado de niños/as, adultos/as enfermos/as, incapacitados/as o mayores. Se presentan porcentajes de concentración del total y de cada sexo.</t>
  </si>
  <si>
    <t>Diferencia entre el porcentaje de concentración de mujeres y el de hombres. Un valor positivo en la brecha indica que el porcentaje de mujeres que se encuentran ocupadas a tiempo parcial  por cuidados es mayor al porcentaje de hombres. Ejemplo: En 2023, el porcentaje de mujeres que se encuentran ocupadas a tiempo parcial  por cuidados es 12,7 puntos porcentuales superior al porcentaje de hombres.</t>
  </si>
  <si>
    <t>INE, Encuesta de Población Activa. Elaboración por la Subdirección General de Estadística del Ayuntamiento de Madrid.</t>
  </si>
  <si>
    <t>Variables de interés para representar la diversidad de mujeres: Edad, nacionalidad, país de origen.</t>
  </si>
  <si>
    <t>Población inactiva por sexo, cuya situación de inactividad es "labores del hogar". Se presentan porcentajes de concentración del total y de cada sexo.</t>
  </si>
  <si>
    <t>Diferencia entre  el porcentaje de concentración de mujeres respecto al de hombres. Un valor positivo en la brecha indica que el porcentaje de mujeres que se encuentran inactivas por dicho motivo es mayor al porcentaje de hombres. El valor ideal es que la distancia porcentual entre ambos fuese cero y la proporción de esta población inactiva fuese equivalente por sexo. Ejemplo: En 2023, el porcentaje de mujeres que se encuentran inactivas por "labores del hogar" es 20,1 puntos porcentuales mayor que el porcentaje de hombres.</t>
  </si>
  <si>
    <t xml:space="preserve">Datos para la ciudad de Madrid.  </t>
  </si>
  <si>
    <t>INE, Encuesta de Población Activa. Elaboración Subdirección General de Estadística del Ayuntamiento de Madrid y elaboración propia.</t>
  </si>
  <si>
    <t>Población de hombres y mujeres que cogen excedencias por cuidado de hijos e hijas. 
Dichas excedencias tienen una duración máxima de tres años para el cuidado de cada hijo/a, tanto cuando lo sea por naturaleza, como por adopción, o en los supuestos de guarda con fines de adopción o acogimiento permanente, a contar desde la fecha de nacimiento o, en su caso, de la resolución judicial o administrativa.</t>
  </si>
  <si>
    <t>Diferencia entre el número de mujeres y la de hombres y porcentaje de mujeres. Un valor positivo en la brecha (N) indica que el porcentaje de mujeres que se encuentran en excedencia por dicho motivo es mayor al porcentaje de hombres. El valor ideal es que la distancia porcentual entre ambos fuese cero y la proporción de  la población en excedencia por cuidado de hijos e hijas fuese equivalente por sexo. Por ejemplo, en 2022 el 86,7% de las excedencias por cuidado de hijos/as eran ejercidas por mujeres, frente al 13,3% que se ejercían por hombres.</t>
  </si>
  <si>
    <t>Datos para la Comunidad de Madrid</t>
  </si>
  <si>
    <t>Ministerio de Trabajo, Migraciones y Seguridad Social, e INSS.</t>
  </si>
  <si>
    <t>No aplica</t>
  </si>
  <si>
    <t xml:space="preserve">6.6 Excedencias por cuidado de familiares </t>
  </si>
  <si>
    <t>Población de hombres y mujeres que cogen excedencias por cuidado de familiares. Este tipo de excedencia tiene una duración no superior a los dos años, salvo que por negociación colectiva se amplíe, y contempla hasta un segundo grado de consanguinidad o afinidad, para el cuidado de personas que por razones de edad, accidente, enfermedad o discapacidad no puedan valerse por sí mismos/as y no desempeñen actividad retribuida.</t>
  </si>
  <si>
    <t>Diferencia entre el número de mujeres y de hombres, y porcentaje de mujeres. Un valor positivo en la brecha indica que el porcentaje de mujeres que se encuentran en excedencia por dicho motivo es mayor al porcentaje de hombres. El valor ideal es que la distancia porcentual entre ambos fuese cero y la proporción de  la población en excedencia por cuidado de familiares fuese equivalente por sexo. Por ejemplo, en 2022 el 80,4% de las excedencias eran tomadas por mujeres.</t>
  </si>
  <si>
    <t>6.7 Porcentaje de la población escolarizada en educación infantil de primero y segundo ciclo</t>
  </si>
  <si>
    <t>Población entre los 0 y 6 años por sexo, matriculada en primer y segundo ciclo de la Educación Infantil. A partir de los datos del total del alumnado matriculado en Educación Infantil se calcula la tasa de cobertura total, la femenina y la masculina, en relación al total de población de niñas y niños de 0 a 6 años.</t>
  </si>
  <si>
    <t>Esta tasa de cobertura  indica el nivel en que la educación infantil cubre labores de cuidados de menores, circunstancia que afecta al acceso y permanencia en mercado laboral, especialmente de las mujeres,  y que influye en la brecha de género existente en el empleo y en la distribución entre el tiempo de trabajo no remunerado y remunerado. El aumento en la tasa de cobertura en esta etapa significa una evolución positiva en el acceso a los servicios de cuidados. A mayor tasa de cobertura del cuidado mayor corresponsabilidad. Por ejemplo, en 2023 en la ciudad de Madrid, el 63,5% de la población de 0 a 6 años estaba escolarizada en la educación infantil, y esta tasa es muy similar en niños y en niñas.</t>
  </si>
  <si>
    <t>Elaboración propia a partir de datos de Estadística de la Enseñanza de la Comunidad de Madrid. Dirección General de Bilingüismo y Calidad de la Enseñanza. Consejería de Educación, Ciencia y Universidades de la Comunidad de Madrid</t>
  </si>
  <si>
    <t>7. EDUCACIÓN, CIENCIA, CULTURA Y DEPORTE</t>
  </si>
  <si>
    <r>
      <t>2022-2023</t>
    </r>
    <r>
      <rPr>
        <b/>
        <sz val="8"/>
        <color theme="0"/>
        <rFont val="Calibri"/>
        <family val="2"/>
        <scheme val="minor"/>
      </rPr>
      <t xml:space="preserve">                   * cambio categorias CAM</t>
    </r>
  </si>
  <si>
    <t xml:space="preserve">7.1 Alumnado matriculado en bachillerato de ciencias y tecnología </t>
  </si>
  <si>
    <t>Alumnado matriculado Bachillerato</t>
  </si>
  <si>
    <t>Alumnado matriculado en modalidad Ciencias y Tecnología</t>
  </si>
  <si>
    <t>Alumnado matriculado en ciencias y tecnología sobre el total de alumnado matriculado (%)</t>
  </si>
  <si>
    <t>% concentración hombres</t>
  </si>
  <si>
    <t>% concentración mujeres</t>
  </si>
  <si>
    <t xml:space="preserve">7.2 Alumnado matriculado en formación profesional de grado medio por familias profesionales </t>
  </si>
  <si>
    <t xml:space="preserve"> Sanidad</t>
  </si>
  <si>
    <t xml:space="preserve"> Informática y Comunicaciones</t>
  </si>
  <si>
    <t xml:space="preserve"> Administración y Gestión</t>
  </si>
  <si>
    <t xml:space="preserve"> Electricidad y Electrónica</t>
  </si>
  <si>
    <t xml:space="preserve"> Transporte y Mantenimiento de Vehículos</t>
  </si>
  <si>
    <t xml:space="preserve"> Servicios Socioculturales y a la Comunidad</t>
  </si>
  <si>
    <t xml:space="preserve"> Actividades Físicas y Deportivas</t>
  </si>
  <si>
    <t xml:space="preserve"> Imagen y Sonido</t>
  </si>
  <si>
    <t xml:space="preserve"> Imagen Personal</t>
  </si>
  <si>
    <t xml:space="preserve"> Hostelería y Turismo</t>
  </si>
  <si>
    <t xml:space="preserve"> Comercio y Marketing</t>
  </si>
  <si>
    <t xml:space="preserve"> Artes Gráficas</t>
  </si>
  <si>
    <t xml:space="preserve"> Instalación y Mantenimiento</t>
  </si>
  <si>
    <t xml:space="preserve"> Fabricación Mecánica</t>
  </si>
  <si>
    <t xml:space="preserve"> Química</t>
  </si>
  <si>
    <t xml:space="preserve"> Textil, Confección y Piel</t>
  </si>
  <si>
    <t xml:space="preserve"> Agraria</t>
  </si>
  <si>
    <t xml:space="preserve"> Industrias Alimentarias</t>
  </si>
  <si>
    <t xml:space="preserve"> Madera, Mueble y Corcho</t>
  </si>
  <si>
    <t xml:space="preserve"> Energía y Agua</t>
  </si>
  <si>
    <t>Edificación y Obra Civil</t>
  </si>
  <si>
    <t>Brecha (% de familias profesionales)</t>
  </si>
  <si>
    <t>7.3 Alumnado matriculado en formación profesional de grado superior por familias profesionales</t>
  </si>
  <si>
    <t xml:space="preserve"> Edificación y Obra Civil</t>
  </si>
  <si>
    <t xml:space="preserve"> Seguridad y Medio Ambiente</t>
  </si>
  <si>
    <t>7.4 Alumnado matriculado en grado universitario y ciclo por ámbitos de estudio de carreras CTIM</t>
  </si>
  <si>
    <t>Total de alumnado matriculado en la universidad (N)</t>
  </si>
  <si>
    <t>Total de hombres matriculados en la universidad (N)</t>
  </si>
  <si>
    <t>Total de mujeres matriculadas en la universidad (N)</t>
  </si>
  <si>
    <t>Total de alumnado matriculado en carreras CTIM (N)</t>
  </si>
  <si>
    <t>Total de hombres matriculados en carreras CTIM (N)</t>
  </si>
  <si>
    <t>Total de mujeres matriculadas en carreras CTIM (N)</t>
  </si>
  <si>
    <t>Alumnado matriculado en carreras CTIM sobre el total de alumnado matriculado en la universidad (%)</t>
  </si>
  <si>
    <t>Hombres en carreras CTIM sobre al total de hombres matriculados en la universidad (%)</t>
  </si>
  <si>
    <t>Mujeres en carreras CTIM frente al total de mujeres matriculadas en la universidad (%)</t>
  </si>
  <si>
    <t>7.5 Personas empleadas en I+D</t>
  </si>
  <si>
    <t xml:space="preserve">Administración Pública </t>
  </si>
  <si>
    <t xml:space="preserve">Enseñanza superior </t>
  </si>
  <si>
    <t xml:space="preserve">Empresas </t>
  </si>
  <si>
    <t>IPSFL</t>
  </si>
  <si>
    <t>Instituciones privadas sin fines de lucro</t>
  </si>
  <si>
    <t>Empresas</t>
  </si>
  <si>
    <t xml:space="preserve">7.6 Personal de investigación en las universidades madrileñas </t>
  </si>
  <si>
    <t>7.7 Empleo cultural</t>
  </si>
  <si>
    <t>Brecha (% Mujeres)</t>
  </si>
  <si>
    <t xml:space="preserve">7.8 Distinciones honoríficas otorgadas por el Ayuntamiento de Madrid </t>
  </si>
  <si>
    <t>7.9 Licencias federadas</t>
  </si>
  <si>
    <t>Federaciones Masculinizadas (%)</t>
  </si>
  <si>
    <t>Federaciones Feminizadas (%)</t>
  </si>
  <si>
    <t>Federaciones en equilibrio (%)</t>
  </si>
  <si>
    <t>7.10 Personas abonadas en centros deportivos municipales</t>
  </si>
  <si>
    <t>7.11 Participantes en escuelas de promoción deportiva</t>
  </si>
  <si>
    <t>7.12 Participantes en Juegos Deportivos Municipales colectivos e individuales</t>
  </si>
  <si>
    <t>Deportes individuales</t>
  </si>
  <si>
    <t>Deportes colectivos</t>
  </si>
  <si>
    <t>Proporción de hombres y mujeres matriculados/as en bachillerato, específicamente en la modalidad de Ciencias y Tecnología, según concentración por sexo.</t>
  </si>
  <si>
    <t>Se presentan valores de concentración que indican el porcentaje de cada uno de los sexos que se matriculan en la modalidad de bachillerato de ciencias y tecnología, sobre el total de la población matriculada en Bachillerato en cada año. La brecha muestra la diferencia porcentual entre los porcentajes de concentración de cada sexo (distancia en puntos porcentuales). Un valor negativo indica que hay menos mujeres estudiantes de Bachillerato matriculadas en la modalidad de Ciencias y Tecnología que hombres.</t>
  </si>
  <si>
    <t>Estadística de la Enseñanza de la Comunidad de Madrid. Dirección General de Bilingüismo y Calidad de la Enseñanza. Consejería de Educación, Ciencia y Universidades de la Comunidad de Madrid</t>
  </si>
  <si>
    <t>Para los años académicos 2020-2021 y 2021-2022, la modalidad es Ciencia, y no Ciencias y Tecnología.</t>
  </si>
  <si>
    <t>Total de personas matriculadas y distribución porcentual por sexo en formación profesional de grado medio, clasificados/as según familias profesionales. 
Una familia profesional es un conjunto de cualificaciones del Catálogo Nacional de Cualificaciones Profesionales que dependen de la competencia profesional.
Los ciclos formativos de grado medio de Formación Profesional son estudios de educación secundaria postobligatoria que permiten adquirir competencias técnicas para el desarrollo de una profesión.</t>
  </si>
  <si>
    <t>La distribución porcentual (%) por sexo de hombres y mujeres en familias profesionales indica cuáles están masculinizadas (menos del 40% de sus estudiantes son mujeres), feminizadas (más del 60% de sus estudiantes son mujeres), o  en equilibrio (más del 40% y menos del 60% de sus estudiantes son mujeres). Lo deseable es un equilibro entre la población masculina y femenina dentro de una familia profesional. Siempre que una familia profesional esté masculinizada o feminizada es síntoma de segregación horizontal en la formación profesional por razón de sexo.</t>
  </si>
  <si>
    <t>No aplica en la fuente</t>
  </si>
  <si>
    <t xml:space="preserve">7.3 Alumnado matriculado en formación profesional de grado superior por familias profesionales </t>
  </si>
  <si>
    <t>Total de personas matriculadas y distribución porcentual por sexo en formación profesional de grado superior, clasificados/as según familias profesionales. 
Una familia profesional es un conjunto de cualificaciones del Catálogo Nacional de Cualificaciones Profesionales que dependen de la competencia profesional.
Los ciclos formativos de grado Superior de Formación Profesional son estudios de educación superior que permiten adquirir una cualificación profesional.</t>
  </si>
  <si>
    <t>Sí se incluye en el Panel Distrital de Indicadores de Género</t>
  </si>
  <si>
    <t>Total de estudiantes hombres y mujeres, y porcentaje de concentración para cada sexo, matriculados/as en enseñanzas universitarias de primer y segundo ciclo, específicamente en aquellos ámbitos de estudio relacionados con carreras CTIM (Ciencia, Tecnología, Ingeniería y Matemáticas), en universidades públicas y privadas de la Comunidad de Madrid. Los ámbitos de estudio incluidos son: Ciencias de la vida; Ciencias Físicas, Químicas, Geológicas; Matemáticas y Estadística; Informática; Ingenierías; Arquitectura y Construcción.</t>
  </si>
  <si>
    <t>Diferencia entre el porcentaje de mujeres matriculadas en carreras CTIM y el porcentaje de hombres. Un valor negativo señala que hay proporcionalmente menos mujeres matriculadas en carreras universitarias CTIM, indicando por tanto una masculinización de estos estudios universitarios. Por ejemplo, en el curso 2021/22 sólo el 16,3% de las mujeres matriculadas en la universidad lo hicieron en carreras CTIM, frente al 39,2% de los hombres, lo que supone una brecha de 22,9 puntos porcentuales.</t>
  </si>
  <si>
    <t>Comunidad de Madrid</t>
  </si>
  <si>
    <t>SiCTIMa Integrado de Información Universitaria (SIIU). Secretaría General de Universidades.</t>
  </si>
  <si>
    <t xml:space="preserve">Total de hombres y mujeres y distribución, porcentual (%) por sexo, empleadas en I+D en equivalencia a jornada completa  por sectores de ejecución: Sector Empresas, Sector Administración Pública, Sector Enseñanza Superior; Sector Instituciones Privadas Sin Fines de Lucro (IPSFL). </t>
  </si>
  <si>
    <t xml:space="preserve">Diferencia porcentual (puntos porcentuales) entre el porcentaje de distribución de mujeres en relación al porcentaje de distribución de hombres para cada sector de ejecución. Un valor negativo en la brecha indica que hay infrarrepresentación de mujeres en el sector I+D. El valor ideal es una presencia equilibrada de ambos sexos en todos los sectores de ejecución. </t>
  </si>
  <si>
    <t>Estadística sobre actividades en I+D, Instituto Nacional de Estadísticas (INE).</t>
  </si>
  <si>
    <t>Datos correspondientes a los indicadores Personal en EJC: Total y Personal en EJC: Mujeres</t>
  </si>
  <si>
    <t>Personal de investigación en universidades de la Comunidad de Madrid, por sexo, para el total de centros, públicos y privados, propios y adscritos.</t>
  </si>
  <si>
    <t>Diferencia entre el número de hombres en investigación y el número de mujeres en las universidades madrileñas. Un valor negativo de la brecha indica una infrarrepresentación de las mujeres en el ámbito de la investigación universitaria. Por ejemplo, en el curso 2021/22 habría 2.299 mujeres menos en el ámbito de la investigación en las universidades de Madrid.</t>
  </si>
  <si>
    <t>SiCTIMa Integrado de Información Universitaria (SIIU). Ministerio de Universidades</t>
  </si>
  <si>
    <t>Personas empleadas en el sector cultural, según los datos de afiliación a la seguridad social, de las personas que trabajan en la ciudad de Madrid afiliadas en la rama de actividad económica/Sección (CNAE 09) "Actividades artísticas, recreativas y de entretenimiento".</t>
  </si>
  <si>
    <t>Diferencia entre el número de mujeres y el de hombres que trabajan en el sector cultural y porcentaje de mujeres en el sector. Un valor negativo en la brecha indica una infrarrepresentación de mujeres en este sector, que indica que el porcentaje de mujeres es inferior al 50%. El valor ideal es una presencia equilibrada de ambos sexos en todos los ámbitos profesionales.</t>
  </si>
  <si>
    <t>Datos 2010 - 2015: Tesorería General de la Seguridad Social y Dirección General de Economía, Estadística e Innovación Tecnológica de la Comunidad de Madrid. Elaboración Ayuntamiento de Madrid. Subdirección General de Estadística</t>
  </si>
  <si>
    <t>Datos 2020 - 2023: Tesorería General de la Seguridad Social. Dirección General de Economía de la Comunidad de Madrid. Elaboración Ayuntamiento de Madrid. Subdirección General de Estadística</t>
  </si>
  <si>
    <t>Variables de interés para representar la diversidad de mujeres: Edad, nacionalidad, régimen de cotización, duración del contrato, jornada del contrato.</t>
  </si>
  <si>
    <t>No se incluye en el Panel Distrital de Indicadores de Género, aunque hay datos desagregados por distrito.</t>
  </si>
  <si>
    <t xml:space="preserve">Total de mujeres y de hombres que han recibido una distinción honorífica concedida por el Ayuntamiento de Madrid. 
El Ayuntamiento de Madrid ha venido reconociendo los especiales merecimientos, servicios extraordinarios, trabajos valiosos, la excelencia en materia cultural, científica, artística, deportiva, económica, profesional, social o política o las aportaciones singulares a la ciudad de Madrid, por parte de personas físicas y jurídicas, al amparo de diferentes normas y acuerdos del pleno. </t>
  </si>
  <si>
    <t>Porcentaje de mujeres que reciben distinciones por parte del Ayuntamiento de Madrid. Un porcentaje inferior al 50% indica infrarrepresentación femenina en la recepción de premios. Por ejemplo, en 2023 sólo 4 de las 23 distinciones entregadas a personas físicas fueron a mujeres (el 17,4%).</t>
  </si>
  <si>
    <t>Distinciones honoríficas otorgadas por el Ayuntamiento de Madrid. Conjunto de datos disponible en el Portal de Datos Abiertos del Ayuntamiento de Madrid.</t>
  </si>
  <si>
    <t>Se distingue a las personas físicas y se clasifican por sexo según su nombre. Se considera año de concesión.</t>
  </si>
  <si>
    <t>Variables de interés para representar la diversidad de mujeres: tipo de distinción,  profesión o actividad.</t>
  </si>
  <si>
    <t>Distribución porcentual de mujeres y hombres entre el total de licencias federadas de la Comunidad de Madrid y clasificación de las federaciones en función del porcentaje de licencias por sexo (masculinizadas/feminizadas/en equilibrio).
Las licencias son clasificadas según federación y sexo. A partir de los datos se calcula el porcentaje de mujeres y de hombres de cada federación. Estas son: Actividades subacuáticas, Aeronáutica, Ajedrez, Atletismo, Automovilismo, Bádminton, Baile deportivo, Baloncesto, Balonmano, Béisbol y softbol, Billar, Bolos, Boxeo, Caza, Ciclismo, Colombicultura, Colombófila, Deporte discapacidad física, Deporte discapacidad intelectual, Deporte para ciegos, Deporte para sordos, Deporte parálisis y daño cerebral, Deportes de hielo, Deportes de invierno, Esgrima, Espeleología, Esquí náutico, Fútbol, Fútbol americano, Galgos, Gimnasia, Golf, Halterofilia, Hípica, Hockey, Judo, Karate, Kickboxing y Muay thai, Luchas olímpicas, Montaña y escalada, Motociclismo, Motonáutica, Natación, Orientación, Pádel, Patinaje, Pelota, Pentatlón moderno, Pesca y casting, Petanca, Piragüismo, Polo, Remo, Rugby, Salvamento y socorrismo, Squash, Surf, Taekwondo, Tenis, Tenis de mesa, Tiro a vuelo, Tiro con arco, Tiro olímpico, Triatlón, Vela, Voleibol.</t>
  </si>
  <si>
    <t>Diferencia entre mujeres y hombres en el número de licencias federadas y porcentaje de mujeres en cada federación deportiva. Un valor negativo en la brecha indica que hay infrarrepresentación de mujeres en este ámbito deportivo. Se incluye también, el porcentaje del total de federaciones que están masculinizadas (menos del 40% de su población son mujeres), feminizadas (más del 60% de su población son mujeres), y en equilibrio (más del 40% y menos del 60% de su población son mujeres). Lo deseable sería un equilibro entre la población masculina y femenina dentro de una federación deportiva, siempre que haya diferencias será un síntoma de segregación por sexo.</t>
  </si>
  <si>
    <t>Estadística de Deporte Federado, Consejo Superior de Deportes. Ministerio de Cultura y Deporte</t>
  </si>
  <si>
    <t>Número de personas abonadas en los centros deportivos municipales gestionados directamente por el Ayuntamiento de Madrid por sexo.</t>
  </si>
  <si>
    <t>Diferencia entre el número de mujeres y hombres que tienen abono en los centros deportivos municipales y porcentaje de mujeres sobre el total. Un valor negativo en la brecha indica que hay una infrarrepresentación de las mujeres entre la población abonada en los centros deportivos municipales. El valor deseable sería un equilibro entre la población masculina y femenina en el acceso y uso de los centros deportivos.</t>
  </si>
  <si>
    <t>Área Delegada de Deporte. DG de Deporte, Ayuntamiento de Madrid. Conjunto de datos disponible en el Portal de Datos Abiertos.</t>
  </si>
  <si>
    <t>Variables de interés para representar la diversidad de mujeres: Edad, tipo de abono, centro deportivo.</t>
  </si>
  <si>
    <t>Participantes que se inscriben en escuelas de promoción deportiva en centros escolares del Ayuntamiento de Madrid, por sexo.
Las escuelas de promoción deportiva corresponden a actividades que se desarrollan en instalaciones de los centros escolares y que están dirigidas al alumnado de 3º a 6º de Educación Primaria, en horario extraescolar, con la finalidad de extender la práctica deportiva entre la población escolar madrileña. A partir de los datos se calcula el porcentaje de mujeres y de hombres de cada escuela de promoción deportiva (ajedrez, atletismo, bádminton, baloncesto, balonmano, beisbol, deporte para personas sordas, deporte para personas con discapacidad intelectual, esgrima, fútbol sala, gimnasia artística, hockey, lucha, patinaje, rugby, tenis, tenis de mesa y voleibol).</t>
  </si>
  <si>
    <t>Diferencia entre el número de mujeres y hombres que se inscriben y porcentaje de mujeres inscritas. Un valor negativo en la brecha indica que hay una infrarrepresentación de mujeres en la escuelas de promoción deportiva. También se incluye el porcentaje del total de escuelas de promoción deportiva que están masculinizadas (menos del 40% de su población son mujeres), feminizadas (más del 60% de su población son mujeres), y en equilibrio (más del 40% y menos del 60% de su población son mujeres). El valor deseable sería un equilibro entre la población masculina y femenina dentro de una escuelas de promoción deportiva, siempre que haya diferencias será un síntoma de segregación por sexo.</t>
  </si>
  <si>
    <t>Estadística de Deportes, DG de Deportes, Ayuntamiento de Madrid. Conjunto de datos disponible en el Portal de Datos Abiertos. Temporadas anteriores.</t>
  </si>
  <si>
    <t>Temporada en curso (2023/2024).</t>
  </si>
  <si>
    <t>Variables de interés para representar la diversidad de mujeres: Colegio, Distrito.</t>
  </si>
  <si>
    <t xml:space="preserve">Participantes  en los Juegos Deportivos Municipales colectivos e individuales por sexo.
Se trata de una competición  accesible para la/el deportista aficionado/a, especialmente orientada a los centros escolares y clubes deportivos con deportistas en edad escolar. </t>
  </si>
  <si>
    <t>Diferencia entre el número de mujeres participantes y el de hombres, así como porcentaje de mujeres participantes. Un valor negativo en la diferencia indica una infrarrepresentación femenina en la participación en los Juegos Deportivos Municipales. El valor deseable sería un equilibro entre la población masculina y femenina en la participación en los Juegos Deportivos Municipales colectivos e individuales, siempre que haya diferencias será un síntoma de segregación por sexo. El número y tipo de juegos puede variar anualmente. Por ejemplo, en la temporada 2022-23 en los Juegos Deportivos individuales participó un 48,5% de mujeres, mientras que en los deportes colectivos el porcentaje de participación femenina fue del 20,4%.</t>
  </si>
  <si>
    <t>Dirección General de Deportes. Ayuntamiento de Madrid | Banco de datos de Madrid, Subdirección General de Estadística.</t>
  </si>
  <si>
    <t>Variables de interés para representar la diversidad de mujeres: tipo de deporte.</t>
  </si>
  <si>
    <t>8. PODER Y PARTICIPACIÓN CIUDADANA</t>
  </si>
  <si>
    <t>8.1 Representación femenina en las Concejalías del Ayuntamiento de Madrid</t>
  </si>
  <si>
    <t>8.2.Porcentaje de rectoras en las universidades públicas y privadas madrileñas</t>
  </si>
  <si>
    <t>Públicas</t>
  </si>
  <si>
    <t>Privadas</t>
  </si>
  <si>
    <t>8.3 Porcentaje de la población ocupada en puestos de dirección o gerencia</t>
  </si>
  <si>
    <t>8.4 Porcentaje de población de la ciudad de Madrid que pertenece a alguna asociación o entidad</t>
  </si>
  <si>
    <t>8.5 Porcentaje de población de la ciudad de Madrid que indica que tiene interés en participar en asuntos municipales</t>
  </si>
  <si>
    <t>8.6 Personas inscritas en el Cuerpo de Voluntarios y Voluntarias del Ayuntamiento de Madrid</t>
  </si>
  <si>
    <t>8.7 Porcentaje de asociaciones de mujeres (%)</t>
  </si>
  <si>
    <t>Total asociaciones (N)</t>
  </si>
  <si>
    <t>Total asociaciones mujeres (N)</t>
  </si>
  <si>
    <t>Porcentaje asociaciones de mujeres (%)</t>
  </si>
  <si>
    <t>8.8 Solicitudes de acceso a la información pública</t>
  </si>
  <si>
    <t>No consta sexo (N)</t>
  </si>
  <si>
    <t>Total de universidades</t>
  </si>
  <si>
    <t>Universidades Públicas</t>
  </si>
  <si>
    <t>Universidades Privadas</t>
  </si>
  <si>
    <t>Número de mujeres y hombres en las Concejalías del Ayuntamiento de Madrid desde 2007. Se incluye el número de mujeres y hombres que toman posesión tras las elecciones. No se incluyen los cambios habidos durante el periodo de gobierno de cada Corporación.</t>
  </si>
  <si>
    <t>Porcentaje de mujeres. Un valor de la brecha por debajo de 50% indica que no hay una composición paritaria de los equipos de gobierno . Ejemplo: Tras las elecciones de 2023, las mujeres están nombradas en el 48,2% de las Concejalías del Ayuntamiento.</t>
  </si>
  <si>
    <t>Ayuntamiento de Madrid</t>
  </si>
  <si>
    <t>Concejales del Ayuntamiento de Madrid desde 1979 - Portal de datos abiertos del Ayuntamiento de Madrid</t>
  </si>
  <si>
    <t>No se recogen otras características sociodemográficas, aunque podría ser de interés, al menos, edad y discapacidad.</t>
  </si>
  <si>
    <t>8.2. Porcentaje de rectoras en las universidades públicas y privadas madrileñas</t>
  </si>
  <si>
    <t>Número de mujeres y hombres en las rectorías de las universidades públicas y privadas madrileñas.</t>
  </si>
  <si>
    <t>Diferencia entre la proporción de mujeres y la de hombres. Un valor negativo en la brecha indica una infrarrepresentación de mujeres, indicando mayor presencia de rectores hombres. El valor ideal es una representación paritaria de mujeres y hombres en los puestos de poder y representación en las rectorías de la universidades.</t>
  </si>
  <si>
    <t>Elaboración propia a partir de la información disponible de cada Universidad y en el SiCTIMa Universitario de la Comunidad de Madrid.</t>
  </si>
  <si>
    <t>No se recogen otras características sociodemográficas, aunque podría ser de interés en un futuro la edad, el origen étnico/racial y la discapacidad.</t>
  </si>
  <si>
    <t>8.3. Porcentaje de población ocupada en puestos de dirección o gerencia</t>
  </si>
  <si>
    <t>Población ocupada en puestos de dirección o gerencia, por sexo, según la Clasificación Nacional de Ocupaciones (CNO) del Instituto Nacional de Estadística (INE), a partir de los cuales se calcula el porcentaje de concentración para cada sexo.
Este grupo comprende las ocupaciones cuyas tareas principales son planificar, dirigir y coordinar la actividad general de las empresas, gobiernos y otras organizaciones y de los departamentos de los mismos, así como formular y revisar la estrategia de las empresas y leyes y reglamentos de los gobiernos.</t>
  </si>
  <si>
    <t>Diferencia entre el porcentaje de concentración de mujeres y de hombres. Un valor negativo en la brecha indica que hay una infrarrepresentación de las mujeres en dichos puestos, señalando una segregación vertical por sexo. Ejemplo: En 2023, el porcentaje de mujeres en puestos de dirección o gerencia era del 4%, frente al 6,6% en el caso de los hombres, es decir, hay una brecha de 2,5 puntos porcentuales.</t>
  </si>
  <si>
    <t>Variables de interés para representar la diversidad de mujeres: Edad, nacionalidad, nivel de formación alcanzado</t>
  </si>
  <si>
    <t>Sin datos a nivel de distritos</t>
  </si>
  <si>
    <t>8.4 Porcentaje de la población de la ciudad de Madrid que pertenece a alguna asociación o entidad</t>
  </si>
  <si>
    <t>Población de la ciudad de Madrid que pertenece a alguna asociación o entidad, porcentaje de concentración para cada sexo.</t>
  </si>
  <si>
    <t>Diferencia en puntos porcentuales entre la proporción de mujeres y la de hombres que pertenece a alguna asociación o entidad. Un valor negativo en la brecha indica que hay una infraparticipación de las mujeres en la vida asociativa de la ciudad. El valor ideal es una presencia equilibrada de mujeres y hombres. Ejemplo: En 2019, el porcentaje de mujeres que pertenecen a alguna asociación e entidad es menor que el porcentaje de hombres por 3,7 puntos porcentuales.</t>
  </si>
  <si>
    <t>En las versiones de la encuesta 2021 y 2022 no se han incluido preguntas sobre participación ciudadana. Años anteriores sin desagregación por sexo publicada.</t>
  </si>
  <si>
    <t>Variables de interés para representar la diversidad de mujeres: Edad, nacionalidad, país de nacimiento, nivel educativo, situación laboral, tamaño hogar, estado civil, volumen de ingresos mensuales netos del hogar.</t>
  </si>
  <si>
    <t>Sí. No se incluye el indicador en el Panel Distrital (el error muestral sería elevado)</t>
  </si>
  <si>
    <t>8.5 Porcentaje de la población de la ciudad de Madrid que indica que tiene interés en participar en asuntos municipales</t>
  </si>
  <si>
    <t>Población de la ciudad de Madrid que tiene interés en participar en asuntos municipales, porcentaje de concentración para cada sexo.</t>
  </si>
  <si>
    <t>Diferencia en puntos porcentuales entre la proporción de mujeres y la de hombres. Un valor negativo en la brecha indica que las mujeres tienen menos interés que los hombres en participar en asuntos municipales. El valor ideal es que hubiese un interés similar y no hubiese ningún sesgo por razón de género, que en la participación social de la ciudadanía está relacionado con la falta de tiempo de las mujeres debido al reparto no equitativo de las responsabilidades de cuidado y de atención al hogar. Ejemplo: En 2019, el porcentaje de mujeres que indica tener interés en participar en asuntos municipales es menor que el porcentaje de hombres por 3,1 puntos porcentuales.</t>
  </si>
  <si>
    <t xml:space="preserve">Encuesta de Calidad de Vida y Satisfacción con los Servicios Públicos de la Ciudad de Madrid. </t>
  </si>
  <si>
    <t>Personas inscritas en el Cuerpo de Voluntarios  y Voluntarias del Ayuntamiento de Madrid, por sexo.</t>
  </si>
  <si>
    <t>Diferencia entre el número de voluntarias y voluntarios y porcentaje de mujeres voluntarias. Un valor positivo en la brecha indica que hay sobrerrepresentación femenina en el cuerpo de voluntariado de la ciudad de Madrid. El valor ideal es una proporción equilibrada de hombres y mujeres, y que no hubiera sesgos de género en la participación en proyectos de voluntariado.</t>
  </si>
  <si>
    <t xml:space="preserve">Ciudad de Madrid   </t>
  </si>
  <si>
    <t>Conjunto de datos aportados por el Departamento de Voluntarios por Madrid. Disponible en Portal de datos abiertos del Ayuntamiento de Madrid</t>
  </si>
  <si>
    <t>Variables de interés para representar la diversidad de mujeres: Rango de edad, nacionalidad, fecha de alta, nivel académico, situación laboral, distrito</t>
  </si>
  <si>
    <t>8.7 Ratio de asociaciones de mujeres (%)</t>
  </si>
  <si>
    <t>Porcentaje de asociaciones de mujeres en relación al total de asociaciones inscritas en el Censo de entidades y colectivos ciudadanos del Ayuntamiento de Madrid.</t>
  </si>
  <si>
    <t>No aplica. No hay un valor ideal establecido, si bien se considera positivo que no disminuya el número de asociaciones.</t>
  </si>
  <si>
    <t>Directorio de Asociaciones inscritas en el Censo de entidades y colectivos ciudadanos, disponible en el Portal de datos abiertos del Ayuntamiento de Madrid.</t>
  </si>
  <si>
    <t>En la fuente no se recogen otras características sociodemográficas.</t>
  </si>
  <si>
    <t>Número de solicitudes de acceso a la información pública del Ayuntamiento de Madrid realizadas por personas físicas, según el sexo. En una parte de las solicitudes no consta el sexo.</t>
  </si>
  <si>
    <t>Diferencia entre el número de mujeres y hombres que han solicitado acceso a información pública, y porcentaje de mujeres sobre el total de hombres y mujeres (no se incluye las solicitudes en las que no consta el sexo de la persona). Un valor negativo en esta brecha indica una infrarrepresentación de mujeres en este tipo de solicitudes de acceso, que se muestra también en un porcentaje de mujeres no equilibrado. Ejemplo, en 2023, solo el 35,9% de las solicitudes de acceso las realizaron mujeres.</t>
  </si>
  <si>
    <t>Registro público de solicitudes de acceso y reclamaciones, disponible en el Portal de datos abiertos del Ayuntamiento de Madrid.</t>
  </si>
  <si>
    <t>Variables de interés para representar la diversidad de mujeres: Edad, motivo y materia de la solicitud.</t>
  </si>
  <si>
    <t>No se incluye en el Panel Distrital</t>
  </si>
  <si>
    <t>9. SEGURIDAD Y MOVILIDAD</t>
  </si>
  <si>
    <t xml:space="preserve">9.1 Percepción de seguridad en el barrio por el día </t>
  </si>
  <si>
    <t>Encuesta hasta 2019</t>
  </si>
  <si>
    <t>Hombres (% muy y bastante seguros)</t>
  </si>
  <si>
    <t>Mujeres (% muy y bastante seguras)</t>
  </si>
  <si>
    <t>Encuesta desde 2021</t>
  </si>
  <si>
    <t>Hombres (Media escala 0-10)</t>
  </si>
  <si>
    <t>Mujeres (Media escala 0-10)</t>
  </si>
  <si>
    <t>Brecha (Media)</t>
  </si>
  <si>
    <t>9.2 Percepción de seguridad en el barrio por la noche</t>
  </si>
  <si>
    <t>9.3 Porcentaje de personas que han sido víctimas de un robo, atraco o agresión en la ciudad de Madrid en el último año</t>
  </si>
  <si>
    <t>9.4 Personas adultas que han sido condenadas por sentencia firme</t>
  </si>
  <si>
    <t>9.5 Medios habituales de transporte utilizados para desplazamientos cotidianos</t>
  </si>
  <si>
    <t>Autobus urbano</t>
  </si>
  <si>
    <t>Autobús interurbano</t>
  </si>
  <si>
    <t>Transporte escolar</t>
  </si>
  <si>
    <t>Transporte de empresa</t>
  </si>
  <si>
    <t>Metro/metro ligero</t>
  </si>
  <si>
    <t>Tren de cercanías</t>
  </si>
  <si>
    <t>Coche particular</t>
  </si>
  <si>
    <t>Moto</t>
  </si>
  <si>
    <t>Taxi</t>
  </si>
  <si>
    <t>Uber, Cabify y otras aplicaciones</t>
  </si>
  <si>
    <t>Servicios de alquiles de coches y/o motos por minutos</t>
  </si>
  <si>
    <t>Bicicleta</t>
  </si>
  <si>
    <t>Otros medios</t>
  </si>
  <si>
    <t>Generalmente no utilizo ningún medio de transporte</t>
  </si>
  <si>
    <t>Brecha(%)</t>
  </si>
  <si>
    <t>9.6 Personas implicadas en accidentes de tráfico de la ciudad de Madrid</t>
  </si>
  <si>
    <t>Hombres(N)</t>
  </si>
  <si>
    <t>Conductor</t>
  </si>
  <si>
    <t>Pasajero</t>
  </si>
  <si>
    <t>Mujeres(N)</t>
  </si>
  <si>
    <t>Conductora</t>
  </si>
  <si>
    <t>Pasajera</t>
  </si>
  <si>
    <t>Brecha(N)</t>
  </si>
  <si>
    <t>Conductor/a</t>
  </si>
  <si>
    <t>Pasajero/a</t>
  </si>
  <si>
    <t>9.7 Personas que tienen la tarjeta de identificación de conductor/a y pueden ejercer la profesión de conductor/a de vehículo de taxi</t>
  </si>
  <si>
    <t xml:space="preserve"> Percepción de hombres y mujeres de la ciudad de Madrid sobre el grado de seguridad subjetiva que tienen en su barrio durante el día.</t>
  </si>
  <si>
    <t>Hasta 2019 esta brecha se mide como la diferencia entre el porcentaje de mujeres y hombres que sienten que su barrio es muy o bastante seguro durante el día. A partir de este año, la brecha se mide como la diferencia entre el valor medio (en escala de 0-10) que sienten que tiene la seguridad en su barrio durante el día para mujeres respecto a hombres. Un valor negativo en cualquiera de estas dos brechas indica que las mujeres se sienten menos seguras en su barrio durante el día.</t>
  </si>
  <si>
    <t>Encuesta de Calidad de Vida y Satisfacción con los Servicios Públicos de la Ciudad de Madrid. Dirección General de Transparencia y Calidad del Ayuntamiento de Madrid.</t>
  </si>
  <si>
    <t xml:space="preserve">Hasta el 2019, este indicador refiere a las respuestas de la población encuestada sobre la pregunta de ¿cómo se siente de seguro/a en Madrid?, con las respuestas de nada seguro/a, poco seguro/a, bastante seguro/a y muy seguro/a. Desde el 2021, refiere a la pregunta ¿podría decirme en una escala de 0 a 10 cómo se siente usted de seguro/a en el barrio o zona donde vive durante el día?, por lo que no puede compararse con la serie anterior que va hasta 2019. </t>
  </si>
  <si>
    <t>Variables de interés para representar la diversidad de mujeres: Edad, nacionalidad, país de nacimiento, estado civil, nivel de formación, situación laboral</t>
  </si>
  <si>
    <t xml:space="preserve"> Percepción de hombres y mujeres de la ciudad de Madrid sobre el grado de seguridad subjetiva que tienen en su barrio durante la noche.</t>
  </si>
  <si>
    <t>Hasta 2019 esta brecha se mide como la diferencia entre el porcentaje de mujeres y hombres que sienten que su barrio es muy o bastante seguro durante la noche. A partir de este año, la brecha se mide como la diferencia entre el valor medio (en escala de 0-10) que sienten que tiene la seguridad en su barrio durante la noche para mujeres respecto a hombres. Un valor negativo en cualquiera de estas dos brechas indica que las mujeres se sienten menos seguras en su barrio por la noche.</t>
  </si>
  <si>
    <t xml:space="preserve">Hasta el 2019, este indicador refiere a las respuestas de la población encuestada sobre la pregunta de ¿cómo se siente de seguro/a en Madrid?, con las respuestas de nada seguro/a, poco seguro/a, bastante seguro/a y muy seguro/a. Desde el 2021, refiere a la pregunta ¿podría decirme en una escala de 0 a 10 cómo se siente usted de seguro/a en el barrio o zona donde vive durante la noche?, por lo que no puede compararse con la serie anterior que va hasta 2019. </t>
  </si>
  <si>
    <t xml:space="preserve">Concentración por sexo de la población de hombres y de mujeres de la ciudad de Madrid que indican que ha sido víctima de algún robo, atraco o agresión, durante el año anterior a la aplicación de la encuesta. </t>
  </si>
  <si>
    <t>Diferencia entre el porcentaje de concentración de mujeres respecto a la concentración de hombres (puntos porcentuales). Un valor positivo en la brecha indica que las mujeres han sido en mayor medida víctimas de este tipo de delitos respecto de los hombres. Ejemplo: En 2019, el porcentaje de mujeres que fueron víctimas de un robo, atraco o agresión es mayor que el porcentaje de hombres por 2,4 puntos porcentuales.</t>
  </si>
  <si>
    <t>En 2023 se pregunta únicamente por robo o atraco, se elimina agresión, por ello, los datos descienden, especialmente en el caso de las mujeres.</t>
  </si>
  <si>
    <t>Número de personas que han sido condenadas/os en sentencia firme durante el período de referencia de la operación estadística por la comisión de una o más infracciones penales y distribución porcentual por sexo.</t>
  </si>
  <si>
    <t>Diferencia entre el número de mujeres y hombres, y porcentaje de mujeres condenadas respecto al total. Un valor negativo en la brecha o un porcentaje inferior al 50% indica que las mujeres son condenadas en menor medida que los hombres . Ejemplo: En 2022, el porcentaje de mujeres que fueron condenadas por sentencia firme fue del 23,2%.</t>
  </si>
  <si>
    <t>Para la Comunidad de Madrid</t>
  </si>
  <si>
    <t>Estadística del Registro Central de Penados y Rebeldes. INE.</t>
  </si>
  <si>
    <t>Variables de interés para representar la diversidad de mujeres: Edad, nacionalidad, número de delitos, número de penas.</t>
  </si>
  <si>
    <t>Distribución de la población de mujeres y hombres de la ciudad de Madrid según el uso de los distintos medios de transporte para sus desplazamientos cotidianos, agrupados en las categorías de transporte público, transporte privado y movilidad peatonal; distribución porcentual por sexo.
Transporte público: Autobús urbano, Autobús interurbano, Transporte escolar, Metro/metro ligero, Tren de cercanías, Taxi, Uber Cabify (aplicaciones que ofrecen un servicio de transporte a partir de la geolocalización del usuario),  Servicios de alquiles de coches (Car2go, emov, Zity y Respiro) y/o motos (eCooltra, Muving, Movo, IoScoot y COUP) por minutos.
Transporte privado: Transporte de empresa, Coche particular, Moto
Peatonal: bicicleta, ningún medio de transporte.</t>
  </si>
  <si>
    <t>Diferencia entre la proporción de mujeres y la de hombres (puntos porcentuales). Un valor negativo en la brecha indica que las mujeres utilizan menos que los hombres un determinado medio de transporte. Ejemplo: En 2019, el porcentaje de mujeres que utilizan habitualmente vehículo privado es menor que el porcentaje de hombres por 10,8 puntos porcentuales.</t>
  </si>
  <si>
    <t>Variables de interés para representar la diversidad de mujeres: Edad, volumen de ingresos mensuales netos del hogar, país de nacimiento y nacionalidad, estado civil, tamaño hogar, nivel educativo y situación laboral</t>
  </si>
  <si>
    <t>Número de personas implicadas en accidentes de tráfico, según sexo y  distinguiendo si eran conductores/as o pasajeros/as. El total corresponde a la totalidad de accidentes de cada año.</t>
  </si>
  <si>
    <t>Diferencia entre el número de mujeres y de hombres implicadas/os en accidentes de tráfico, bien como conductores/as o pasajeros/as. Un valor negativo en la brecha indica que las mujeres han estado menos implicadas en un accidente (dependiendo de la categoría, como conductora o como viajera). Ejemplo: En 2023, había 16.729 mujeres menos implicadas en accidentes como conductoras, mientras que estaban sobrerrepresentadas como viajeras (1.267 más respecto a hombres). Por ello, las mujeres eran solo el 25,4% de las personas implicadas en accidentes de tráfico como conductoras y el 58% como pasajeras.</t>
  </si>
  <si>
    <t>Accidentes de tráfico de la Ciudad de Madrid registrados por Policía Municipal. Conjunto de datos disponible en Portal de datos abiertos del Ayuntamiento de Madrid</t>
  </si>
  <si>
    <t>Variables de interés para representar la diversidad de mujeres: Edad, distrito.
Otras variables de interés: Positividad alcohol, positividad droga, tipo de accidente.</t>
  </si>
  <si>
    <t>Sí. Se incluye en el Panel Distrital</t>
  </si>
  <si>
    <t>Número de personas que tienen la Tarjeta de Identificación de Conductor/a y pueden ejercer la profesión de conductor/a de vehículo autotaxi. Datos correspondientes a la categoría de "Conductores en activo (con tarjeta en activo)" para hombres y mujeres.</t>
  </si>
  <si>
    <t>Diferencia entre el número de mujeres y de hombres conductoras/es de taxi en activo y porcentaje de mujeres conductoras de taxi. Un valor negativo en la brecha indica que hay infrarrepresentación de mujeres conductoras de taxi, que también se muestra en el bajo porcentaje de mujeres sobre el total. El valor deseable es que haya una presencia equilibrada de ambos sexos en este sector profesional. Ejemplo: En 2022, hay 896 mujeres conductoras de taxi frente a 15.919 hombres, representando las mujeres sólo el 5,3% de las personas que conducen taxi.</t>
  </si>
  <si>
    <t xml:space="preserve">Taxi. Situación y Gestión. Histórico. DG de Gestión y Vigilancia de la Circulación. Ayuntamiento de Madrid. Conjunto de datos obtenidos en el Portal de datos abiertos del Ayuntamiento de Madrid, desde 01/01/2014 hasta 31/12/2022. </t>
  </si>
  <si>
    <t>Datos provenientes del fichero: Situación de cada año.</t>
  </si>
  <si>
    <t>Variables de interés para representar la diversidad de mujeres: Nacionalidad</t>
  </si>
  <si>
    <t xml:space="preserve">Porcentaje de población (promedio anual) potencialmente activa (ocupada y parada) de 16 a 64 años, sobre el total de la población de 16 a 64 años, por sexo, </t>
  </si>
  <si>
    <t>Porcentaje de población (promedio anual) ocupada de 16 a 64 años respecto de la población activa (ocupada y parada) de 16 a 64 años, por sexo.</t>
  </si>
  <si>
    <t>Porcentaje de población (promedio anual) parada de 16 a 64 años respecto de la población activa (ocupada y parada) de 16 a 64 años, por 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</si>
</sst>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 %"/>
    <numFmt numFmtId="166" formatCode="0.0%"/>
    <numFmt numFmtId="167" formatCode="_-* #,##0.0_-;\-* #,##0.0_-;_-* &quot;-&quot;??_-;_-@_-"/>
    <numFmt numFmtId="168" formatCode="#,##0.0"/>
    <numFmt numFmtId="169" formatCode="_-* #,##0_-;\-* #,##0_-;_-* &quot;-&quot;??_-;_-@_-"/>
    <numFmt numFmtId="170" formatCode="_-* #,##0.00\ _€_-;\-* #,##0.00\ _€_-;_-* &quot;-&quot;??\ _€_-;_-@_-"/>
    <numFmt numFmtId="171" formatCode="0.000"/>
    <numFmt numFmtId="172" formatCode="_-* #,##0.0\ _€_-;\-* #,##0.0\ _€_-;_-* &quot;-&quot;?\ _€_-;_-@_-"/>
  </numFmts>
  <fonts count="66">
    <font>
      <sz val="11"/>
      <color theme="1"/>
      <name val="Calibri"/>
      <family val="2"/>
      <scheme val="minor"/>
    </font>
    <font>
      <b/>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1"/>
      <color rgb="FF000000"/>
      <name val="Arial Narrow"/>
      <family val="2"/>
      <charset val="1"/>
    </font>
    <font>
      <sz val="12"/>
      <name val="Calibri"/>
      <family val="2"/>
      <scheme val="minor"/>
    </font>
    <font>
      <u/>
      <sz val="11"/>
      <color rgb="FF0563C1"/>
      <name val="Arial Narrow"/>
      <family val="2"/>
      <charset val="1"/>
    </font>
    <font>
      <sz val="10"/>
      <name val="Arial"/>
      <family val="2"/>
    </font>
    <font>
      <sz val="11"/>
      <color rgb="FF000000"/>
      <name val="Arial"/>
      <family val="2"/>
    </font>
    <font>
      <sz val="12"/>
      <name val="Calibri"/>
      <family val="2"/>
    </font>
    <font>
      <b/>
      <sz val="12"/>
      <color theme="0"/>
      <name val="Calibri"/>
      <family val="2"/>
      <scheme val="minor"/>
    </font>
    <font>
      <b/>
      <sz val="11"/>
      <color rgb="FF000000"/>
      <name val="Calibri"/>
      <family val="2"/>
      <scheme val="minor"/>
    </font>
    <font>
      <sz val="11"/>
      <color indexed="8"/>
      <name val="Calibri"/>
      <family val="2"/>
      <scheme val="minor"/>
    </font>
    <font>
      <b/>
      <sz val="11"/>
      <color indexed="8"/>
      <name val="Calibri"/>
      <family val="2"/>
      <scheme val="minor"/>
    </font>
    <font>
      <b/>
      <sz val="24"/>
      <color theme="0"/>
      <name val="Calibri Light"/>
      <family val="2"/>
      <scheme val="major"/>
    </font>
    <font>
      <sz val="11"/>
      <color rgb="FF404040"/>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2"/>
      <color rgb="FFC00000"/>
      <name val="Calibri"/>
      <family val="2"/>
      <scheme val="minor"/>
    </font>
    <font>
      <b/>
      <sz val="11"/>
      <color rgb="FFC00000"/>
      <name val="Calibri"/>
      <family val="2"/>
      <scheme val="minor"/>
    </font>
    <font>
      <sz val="11"/>
      <color rgb="FFFF0000"/>
      <name val="Calibri"/>
      <family val="2"/>
      <scheme val="minor"/>
    </font>
    <font>
      <b/>
      <sz val="28"/>
      <color theme="1"/>
      <name val="Calibri"/>
      <family val="2"/>
      <scheme val="minor"/>
    </font>
    <font>
      <sz val="12"/>
      <color theme="0"/>
      <name val="Calibri"/>
      <family val="2"/>
      <scheme val="minor"/>
    </font>
    <font>
      <b/>
      <sz val="26"/>
      <color theme="1"/>
      <name val="Calibri"/>
      <family val="2"/>
      <scheme val="minor"/>
    </font>
    <font>
      <sz val="10"/>
      <color rgb="FF333333"/>
      <name val="Arial"/>
      <family val="2"/>
    </font>
    <font>
      <sz val="11"/>
      <color rgb="FFC00000"/>
      <name val="Calibri"/>
      <family val="2"/>
      <scheme val="minor"/>
    </font>
    <font>
      <b/>
      <sz val="14"/>
      <name val="Calibri"/>
      <family val="2"/>
      <scheme val="minor"/>
    </font>
    <font>
      <u/>
      <sz val="11"/>
      <color theme="1"/>
      <name val="Calibri"/>
      <family val="2"/>
      <scheme val="minor"/>
    </font>
    <font>
      <b/>
      <sz val="24"/>
      <name val="Calibri"/>
      <family val="2"/>
      <scheme val="minor"/>
    </font>
    <font>
      <sz val="11"/>
      <color theme="1"/>
      <name val="Arial Narrow"/>
      <family val="2"/>
    </font>
    <font>
      <sz val="11"/>
      <name val="Calibri"/>
      <family val="2"/>
    </font>
    <font>
      <b/>
      <sz val="10"/>
      <name val="Arial"/>
      <family val="2"/>
    </font>
    <font>
      <sz val="8"/>
      <name val="Calibri"/>
      <family val="2"/>
      <scheme val="minor"/>
    </font>
    <font>
      <u/>
      <sz val="11"/>
      <color rgb="FF0070C0"/>
      <name val="Calibri"/>
      <family val="2"/>
      <scheme val="minor"/>
    </font>
    <font>
      <b/>
      <sz val="12"/>
      <color theme="1" tint="0.14999847407452621"/>
      <name val="Calibri"/>
      <family val="2"/>
      <scheme val="minor"/>
    </font>
    <font>
      <sz val="12"/>
      <color theme="1" tint="0.14999847407452621"/>
      <name val="Calibri"/>
      <family val="2"/>
      <scheme val="minor"/>
    </font>
    <font>
      <b/>
      <sz val="11"/>
      <color theme="1" tint="0.14999847407452621"/>
      <name val="Calibri"/>
      <family val="2"/>
      <scheme val="minor"/>
    </font>
    <font>
      <sz val="11"/>
      <color theme="1" tint="0.14999847407452621"/>
      <name val="Calibri"/>
      <family val="2"/>
      <scheme val="minor"/>
    </font>
    <font>
      <b/>
      <sz val="11"/>
      <color rgb="FFC00000"/>
      <name val="Calibri"/>
      <family val="2"/>
    </font>
    <font>
      <b/>
      <sz val="11"/>
      <name val="Calibri"/>
      <family val="2"/>
    </font>
    <font>
      <sz val="11"/>
      <color rgb="FFC00000"/>
      <name val="Calibri"/>
      <family val="2"/>
    </font>
    <font>
      <sz val="11"/>
      <color rgb="FF9C0006"/>
      <name val="Calibri"/>
      <family val="2"/>
      <scheme val="minor"/>
    </font>
    <font>
      <sz val="11"/>
      <color rgb="FF000000"/>
      <name val="Calibri"/>
      <family val="2"/>
      <scheme val="minor"/>
    </font>
    <font>
      <sz val="11"/>
      <color rgb="FF333333"/>
      <name val="Calibri"/>
      <family val="2"/>
      <scheme val="minor"/>
    </font>
    <font>
      <b/>
      <sz val="8"/>
      <name val="Arial"/>
      <family val="2"/>
    </font>
    <font>
      <u/>
      <sz val="11"/>
      <color theme="9" tint="-0.249977111117893"/>
      <name val="Calibri"/>
      <family val="2"/>
      <scheme val="minor"/>
    </font>
    <font>
      <b/>
      <sz val="10"/>
      <color indexed="8"/>
      <name val="Arial"/>
      <family val="2"/>
    </font>
    <font>
      <sz val="9"/>
      <color indexed="8"/>
      <name val="Arial"/>
      <family val="2"/>
    </font>
    <font>
      <u/>
      <sz val="11"/>
      <color theme="4"/>
      <name val="Calibri"/>
      <family val="2"/>
      <scheme val="minor"/>
    </font>
    <font>
      <sz val="11"/>
      <color rgb="FF000000"/>
      <name val="Aptos Narrow"/>
      <family val="2"/>
    </font>
    <font>
      <sz val="11"/>
      <color rgb="FF000000"/>
      <name val="Calibri"/>
      <family val="2"/>
    </font>
    <font>
      <sz val="10"/>
      <name val="CG Times (W1)"/>
    </font>
    <font>
      <sz val="8"/>
      <name val="Arial"/>
      <family val="2"/>
    </font>
    <font>
      <b/>
      <sz val="8"/>
      <color theme="0"/>
      <name val="Calibri"/>
      <family val="2"/>
      <scheme val="minor"/>
    </font>
    <font>
      <sz val="11"/>
      <color rgb="FF960000"/>
      <name val="Calibri"/>
      <family val="2"/>
      <scheme val="minor"/>
    </font>
    <font>
      <b/>
      <sz val="11"/>
      <color rgb="FF000000"/>
      <name val="Calibri"/>
      <family val="2"/>
    </font>
    <font>
      <b/>
      <sz val="11"/>
      <color theme="1" tint="0.499984740745262"/>
      <name val="Calibri"/>
      <family val="2"/>
      <scheme val="minor"/>
    </font>
    <font>
      <b/>
      <sz val="11"/>
      <color rgb="FF960000"/>
      <name val="Calibri"/>
      <family val="2"/>
      <scheme val="minor"/>
    </font>
    <font>
      <b/>
      <sz val="16"/>
      <color rgb="FF4472C4"/>
      <name val="Calibri"/>
      <family val="2"/>
      <scheme val="minor"/>
    </font>
    <font>
      <b/>
      <sz val="8"/>
      <color theme="5" tint="-0.249977111117893"/>
      <name val="Arial"/>
      <family val="2"/>
    </font>
  </fonts>
  <fills count="30">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F2F2F2"/>
      </patternFill>
    </fill>
    <fill>
      <patternFill patternType="solid">
        <fgColor rgb="FFFFFFFF"/>
        <bgColor rgb="FF000000"/>
      </patternFill>
    </fill>
    <fill>
      <patternFill patternType="solid">
        <fgColor theme="0"/>
        <bgColor rgb="FF000000"/>
      </patternFill>
    </fill>
    <fill>
      <patternFill patternType="solid">
        <fgColor theme="2"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5E5FF"/>
        <bgColor indexed="64"/>
      </patternFill>
    </fill>
    <fill>
      <patternFill patternType="solid">
        <fgColor rgb="FFE1FFF9"/>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C7CE"/>
        <bgColor rgb="FF000000"/>
      </patternFill>
    </fill>
    <fill>
      <patternFill patternType="solid">
        <fgColor theme="1"/>
        <bgColor indexed="64"/>
      </patternFill>
    </fill>
    <fill>
      <patternFill patternType="solid">
        <fgColor indexed="9"/>
      </patternFill>
    </fill>
    <fill>
      <patternFill patternType="solid">
        <fgColor theme="2"/>
        <bgColor indexed="64"/>
      </patternFill>
    </fill>
    <fill>
      <patternFill patternType="solid">
        <fgColor rgb="FFFFC7CE"/>
        <bgColor indexed="64"/>
      </patternFill>
    </fill>
    <fill>
      <patternFill patternType="solid">
        <fgColor rgb="FFFF8989"/>
        <bgColor indexed="64"/>
      </patternFill>
    </fill>
    <fill>
      <patternFill patternType="solid">
        <fgColor theme="9"/>
        <bgColor indexed="64"/>
      </patternFill>
    </fill>
    <fill>
      <patternFill patternType="solid">
        <fgColor theme="0" tint="-0.14999847407452621"/>
        <bgColor indexed="64"/>
      </patternFill>
    </fill>
    <fill>
      <patternFill patternType="solid">
        <fgColor rgb="FFFF8989"/>
        <bgColor rgb="FF000000"/>
      </patternFill>
    </fill>
    <fill>
      <patternFill patternType="solid">
        <fgColor rgb="FFE7E6E6"/>
        <bgColor rgb="FF000000"/>
      </patternFill>
    </fill>
  </fills>
  <borders count="18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2" tint="-0.249977111117893"/>
      </bottom>
      <diagonal/>
    </border>
    <border>
      <left/>
      <right/>
      <top style="thin">
        <color theme="2" tint="-0.249977111117893"/>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2"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2" tint="-0.499984740745262"/>
      </right>
      <top style="thin">
        <color theme="0" tint="-0.34998626667073579"/>
      </top>
      <bottom style="thin">
        <color theme="0" tint="-0.34998626667073579"/>
      </bottom>
      <diagonal/>
    </border>
    <border>
      <left style="thin">
        <color theme="2" tint="-0.499984740745262"/>
      </left>
      <right/>
      <top style="thin">
        <color theme="0" tint="-0.34998626667073579"/>
      </top>
      <bottom style="thin">
        <color theme="0" tint="-0.34998626667073579"/>
      </bottom>
      <diagonal/>
    </border>
    <border>
      <left/>
      <right style="thin">
        <color theme="2" tint="-0.499984740745262"/>
      </right>
      <top style="thin">
        <color theme="0" tint="-0.34998626667073579"/>
      </top>
      <bottom style="thin">
        <color theme="0" tint="-0.34998626667073579"/>
      </bottom>
      <diagonal/>
    </border>
    <border>
      <left style="thin">
        <color theme="2" tint="-0.499984740745262"/>
      </left>
      <right style="thin">
        <color theme="0" tint="-0.34998626667073579"/>
      </right>
      <top style="thin">
        <color theme="0" tint="-0.34998626667073579"/>
      </top>
      <bottom style="thin">
        <color theme="2" tint="-0.499984740745262"/>
      </bottom>
      <diagonal/>
    </border>
    <border>
      <left style="thin">
        <color theme="0" tint="-0.34998626667073579"/>
      </left>
      <right style="thin">
        <color theme="2" tint="-0.499984740745262"/>
      </right>
      <top style="thin">
        <color theme="0" tint="-0.34998626667073579"/>
      </top>
      <bottom style="thin">
        <color theme="2" tint="-0.499984740745262"/>
      </bottom>
      <diagonal/>
    </border>
    <border>
      <left/>
      <right style="thin">
        <color theme="2" tint="-0.499984740745262"/>
      </right>
      <top/>
      <bottom/>
      <diagonal/>
    </border>
    <border>
      <left style="medium">
        <color theme="1"/>
      </left>
      <right/>
      <top style="thin">
        <color indexed="64"/>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indexed="64"/>
      </top>
      <bottom style="thin">
        <color indexed="64"/>
      </bottom>
      <diagonal/>
    </border>
    <border>
      <left style="medium">
        <color theme="1"/>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bottom style="medium">
        <color theme="1"/>
      </bottom>
      <diagonal/>
    </border>
    <border>
      <left style="medium">
        <color theme="1"/>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thin">
        <color indexed="64"/>
      </right>
      <top style="thin">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top style="thin">
        <color indexed="64"/>
      </top>
      <bottom/>
      <diagonal/>
    </border>
    <border>
      <left style="thin">
        <color theme="1"/>
      </left>
      <right style="thin">
        <color theme="1"/>
      </right>
      <top style="thin">
        <color theme="1"/>
      </top>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thin">
        <color indexed="64"/>
      </left>
      <right style="thin">
        <color indexed="64"/>
      </right>
      <top style="medium">
        <color theme="1"/>
      </top>
      <bottom/>
      <diagonal/>
    </border>
    <border>
      <left style="medium">
        <color theme="1"/>
      </left>
      <right/>
      <top style="medium">
        <color theme="1"/>
      </top>
      <bottom style="medium">
        <color indexed="64"/>
      </bottom>
      <diagonal/>
    </border>
    <border>
      <left style="thin">
        <color theme="0" tint="-0.34998626667073579"/>
      </left>
      <right style="thin">
        <color theme="2" tint="-0.499984740745262"/>
      </right>
      <top/>
      <bottom/>
      <diagonal/>
    </border>
    <border>
      <left style="thin">
        <color theme="2" tint="-0.499984740745262"/>
      </left>
      <right style="thin">
        <color theme="0" tint="-0.34998626667073579"/>
      </right>
      <top style="thin">
        <color theme="0" tint="-0.34998626667073579"/>
      </top>
      <bottom/>
      <diagonal/>
    </border>
    <border>
      <left style="thin">
        <color theme="2" tint="-0.499984740745262"/>
      </left>
      <right style="thin">
        <color theme="0" tint="-0.34998626667073579"/>
      </right>
      <top/>
      <bottom style="thin">
        <color theme="0" tint="-0.34998626667073579"/>
      </bottom>
      <diagonal/>
    </border>
    <border>
      <left/>
      <right/>
      <top/>
      <bottom style="medium">
        <color theme="1"/>
      </bottom>
      <diagonal/>
    </border>
    <border>
      <left style="thin">
        <color theme="2" tint="-0.499984740745262"/>
      </left>
      <right/>
      <top/>
      <bottom style="thin">
        <color theme="0" tint="-0.34998626667073579"/>
      </bottom>
      <diagonal/>
    </border>
    <border>
      <left/>
      <right style="thin">
        <color theme="2" tint="-0.499984740745262"/>
      </right>
      <top/>
      <bottom style="thin">
        <color theme="0" tint="-0.34998626667073579"/>
      </bottom>
      <diagonal/>
    </border>
    <border>
      <left style="medium">
        <color theme="1"/>
      </left>
      <right/>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1"/>
      </left>
      <right/>
      <top style="medium">
        <color theme="1"/>
      </top>
      <bottom style="medium">
        <color theme="2" tint="-0.249977111117893"/>
      </bottom>
      <diagonal/>
    </border>
    <border>
      <left style="medium">
        <color theme="1"/>
      </left>
      <right/>
      <top style="medium">
        <color theme="2" tint="-0.249977111117893"/>
      </top>
      <bottom style="medium">
        <color theme="2" tint="-0.249977111117893"/>
      </bottom>
      <diagonal/>
    </border>
    <border>
      <left/>
      <right style="thin">
        <color indexed="64"/>
      </right>
      <top/>
      <bottom style="medium">
        <color theme="1"/>
      </bottom>
      <diagonal/>
    </border>
    <border>
      <left style="medium">
        <color theme="1"/>
      </left>
      <right/>
      <top style="medium">
        <color theme="2" tint="-0.249977111117893"/>
      </top>
      <bottom style="medium">
        <color indexed="64"/>
      </bottom>
      <diagonal/>
    </border>
    <border>
      <left style="medium">
        <color theme="1"/>
      </left>
      <right/>
      <top style="medium">
        <color indexed="64"/>
      </top>
      <bottom style="medium">
        <color theme="2" tint="-0.249977111117893"/>
      </bottom>
      <diagonal/>
    </border>
    <border>
      <left style="medium">
        <color theme="1"/>
      </left>
      <right/>
      <top/>
      <bottom/>
      <diagonal/>
    </border>
    <border>
      <left style="medium">
        <color theme="1"/>
      </left>
      <right/>
      <top/>
      <bottom style="medium">
        <color theme="1"/>
      </bottom>
      <diagonal/>
    </border>
    <border>
      <left style="thin">
        <color theme="0" tint="-0.34998626667073579"/>
      </left>
      <right style="thin">
        <color theme="2" tint="-0.499984740745262"/>
      </right>
      <top style="thin">
        <color theme="0" tint="-0.34998626667073579"/>
      </top>
      <bottom style="thin">
        <color theme="2" tint="-0.249977111117893"/>
      </bottom>
      <diagonal/>
    </border>
    <border>
      <left style="thin">
        <color theme="0" tint="-0.34998626667073579"/>
      </left>
      <right/>
      <top/>
      <bottom/>
      <diagonal/>
    </border>
    <border>
      <left/>
      <right style="thin">
        <color theme="0" tint="-0.34998626667073579"/>
      </right>
      <top/>
      <bottom/>
      <diagonal/>
    </border>
    <border>
      <left style="thin">
        <color theme="2" tint="-0.249977111117893"/>
      </left>
      <right style="thin">
        <color theme="0" tint="-0.34998626667073579"/>
      </right>
      <top style="thin">
        <color theme="2" tint="-0.249977111117893"/>
      </top>
      <bottom style="thin">
        <color theme="0" tint="-0.34998626667073579"/>
      </bottom>
      <diagonal/>
    </border>
    <border>
      <left style="thin">
        <color theme="0" tint="-0.34998626667073579"/>
      </left>
      <right style="thin">
        <color theme="2" tint="-0.249977111117893"/>
      </right>
      <top style="thin">
        <color theme="2" tint="-0.249977111117893"/>
      </top>
      <bottom style="thin">
        <color theme="0" tint="-0.34998626667073579"/>
      </bottom>
      <diagonal/>
    </border>
    <border>
      <left style="thin">
        <color theme="2"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2" tint="-0.249977111117893"/>
      </right>
      <top style="thin">
        <color theme="0" tint="-0.34998626667073579"/>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right style="thin">
        <color theme="2" tint="-0.249977111117893"/>
      </right>
      <top/>
      <bottom/>
      <diagonal/>
    </border>
    <border>
      <left style="thin">
        <color theme="2" tint="-0.249977111117893"/>
      </left>
      <right style="thin">
        <color theme="0" tint="-0.34998626667073579"/>
      </right>
      <top style="thin">
        <color theme="0" tint="-0.34998626667073579"/>
      </top>
      <bottom/>
      <diagonal/>
    </border>
    <border>
      <left style="thin">
        <color theme="2" tint="-0.249977111117893"/>
      </left>
      <right style="thin">
        <color theme="0" tint="-0.34998626667073579"/>
      </right>
      <top/>
      <bottom style="thin">
        <color theme="0" tint="-0.34998626667073579"/>
      </bottom>
      <diagonal/>
    </border>
    <border>
      <left style="thin">
        <color theme="2" tint="-0.249977111117893"/>
      </left>
      <right style="thin">
        <color theme="0" tint="-0.34998626667073579"/>
      </right>
      <top style="thin">
        <color theme="0" tint="-0.34998626667073579"/>
      </top>
      <bottom style="thin">
        <color theme="2" tint="-0.249977111117893"/>
      </bottom>
      <diagonal/>
    </border>
    <border>
      <left style="thin">
        <color theme="0" tint="-0.34998626667073579"/>
      </left>
      <right style="thin">
        <color theme="2" tint="-0.249977111117893"/>
      </right>
      <top style="thin">
        <color theme="0" tint="-0.34998626667073579"/>
      </top>
      <bottom style="thin">
        <color theme="2" tint="-0.249977111117893"/>
      </bottom>
      <diagonal/>
    </border>
    <border>
      <left style="thin">
        <color theme="2" tint="-0.499984740745262"/>
      </left>
      <right style="thin">
        <color theme="0" tint="-0.34998626667073579"/>
      </right>
      <top style="thin">
        <color theme="2" tint="-0.499984740745262"/>
      </top>
      <bottom style="thin">
        <color theme="0" tint="-0.34998626667073579"/>
      </bottom>
      <diagonal/>
    </border>
    <border>
      <left style="thin">
        <color theme="0" tint="-0.34998626667073579"/>
      </left>
      <right style="thin">
        <color theme="2" tint="-0.499984740745262"/>
      </right>
      <top style="thin">
        <color theme="2" tint="-0.499984740745262"/>
      </top>
      <bottom style="thin">
        <color theme="0" tint="-0.3499862666707357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theme="0" tint="-0.34998626667073579"/>
      </top>
      <bottom/>
      <diagonal/>
    </border>
    <border>
      <left style="thin">
        <color theme="0" tint="-0.34998626667073579"/>
      </left>
      <right style="thin">
        <color theme="2" tint="-0.499984740745262"/>
      </right>
      <top/>
      <bottom style="thin">
        <color theme="0" tint="-0.34998626667073579"/>
      </bottom>
      <diagonal/>
    </border>
    <border>
      <left/>
      <right style="thin">
        <color indexed="64"/>
      </right>
      <top style="medium">
        <color theme="1"/>
      </top>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diagonal/>
    </border>
    <border>
      <left style="thin">
        <color theme="2" tint="-0.499984740745262"/>
      </left>
      <right/>
      <top style="thin">
        <color theme="0" tint="-0.34998626667073579"/>
      </top>
      <bottom/>
      <diagonal/>
    </border>
    <border>
      <left/>
      <right style="thin">
        <color theme="2" tint="-0.499984740745262"/>
      </right>
      <top style="thin">
        <color theme="0" tint="-0.34998626667073579"/>
      </top>
      <bottom/>
      <diagonal/>
    </border>
    <border>
      <left style="medium">
        <color theme="1"/>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theme="1"/>
      </top>
      <bottom style="thin">
        <color indexed="64"/>
      </bottom>
      <diagonal/>
    </border>
    <border>
      <left style="thin">
        <color theme="0" tint="-0.34998626667073579"/>
      </left>
      <right style="thin">
        <color theme="0" tint="-0.34998626667073579"/>
      </right>
      <top style="thin">
        <color theme="2" tint="-0.249977111117893"/>
      </top>
      <bottom/>
      <diagonal/>
    </border>
    <border>
      <left style="thin">
        <color rgb="FFA6A6A6"/>
      </left>
      <right style="thin">
        <color rgb="FF757171"/>
      </right>
      <top style="thin">
        <color rgb="FFA6A6A6"/>
      </top>
      <bottom style="thin">
        <color rgb="FFA6A6A6"/>
      </bottom>
      <diagonal/>
    </border>
    <border>
      <left style="thin">
        <color rgb="FFA6A6A6"/>
      </left>
      <right style="thin">
        <color rgb="FF757171"/>
      </right>
      <top style="thin">
        <color rgb="FFA6A6A6"/>
      </top>
      <bottom/>
      <diagonal/>
    </border>
    <border>
      <left style="thin">
        <color indexed="22"/>
      </left>
      <right/>
      <top/>
      <bottom/>
      <diagonal/>
    </border>
    <border>
      <left/>
      <right style="medium">
        <color theme="1"/>
      </right>
      <top style="medium">
        <color theme="1"/>
      </top>
      <bottom style="medium">
        <color theme="1"/>
      </bottom>
      <diagonal/>
    </border>
    <border>
      <left style="medium">
        <color theme="1"/>
      </left>
      <right/>
      <top style="medium">
        <color indexed="64"/>
      </top>
      <bottom/>
      <diagonal/>
    </border>
    <border>
      <left style="medium">
        <color theme="1"/>
      </left>
      <right/>
      <top style="medium">
        <color indexed="64"/>
      </top>
      <bottom style="medium">
        <color indexed="64"/>
      </bottom>
      <diagonal/>
    </border>
  </borders>
  <cellStyleXfs count="14">
    <xf numFmtId="0" fontId="0" fillId="0" borderId="0"/>
    <xf numFmtId="0" fontId="2"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165" fontId="9" fillId="0" borderId="0" applyBorder="0" applyProtection="0"/>
    <xf numFmtId="43" fontId="5" fillId="0" borderId="0" applyFont="0" applyFill="0" applyBorder="0" applyAlignment="0" applyProtection="0"/>
    <xf numFmtId="0" fontId="11" fillId="0" borderId="0" applyBorder="0" applyProtection="0"/>
    <xf numFmtId="0" fontId="12" fillId="0" borderId="0"/>
    <xf numFmtId="9" fontId="5" fillId="0" borderId="0" applyFont="0" applyFill="0" applyBorder="0" applyAlignment="0" applyProtection="0"/>
    <xf numFmtId="0" fontId="17" fillId="0" borderId="0"/>
    <xf numFmtId="0" fontId="35" fillId="0" borderId="0"/>
    <xf numFmtId="0" fontId="2" fillId="0" borderId="0" applyNumberFormat="0" applyFill="0" applyBorder="0" applyAlignment="0" applyProtection="0"/>
    <xf numFmtId="0" fontId="57" fillId="0" borderId="0"/>
  </cellStyleXfs>
  <cellXfs count="1593">
    <xf numFmtId="0" fontId="0" fillId="0" borderId="0" xfId="0"/>
    <xf numFmtId="0" fontId="0" fillId="0" borderId="2" xfId="0" applyBorder="1"/>
    <xf numFmtId="0" fontId="0" fillId="0" borderId="7" xfId="0" applyBorder="1"/>
    <xf numFmtId="0" fontId="0" fillId="0" borderId="21" xfId="0" applyBorder="1"/>
    <xf numFmtId="0" fontId="0" fillId="0" borderId="19" xfId="0" applyBorder="1"/>
    <xf numFmtId="0" fontId="0" fillId="0" borderId="20" xfId="0" applyBorder="1"/>
    <xf numFmtId="0" fontId="1" fillId="2" borderId="24" xfId="0" applyFont="1" applyFill="1" applyBorder="1" applyAlignment="1">
      <alignment horizontal="center"/>
    </xf>
    <xf numFmtId="0" fontId="0" fillId="0" borderId="1" xfId="0" applyBorder="1"/>
    <xf numFmtId="0" fontId="0" fillId="0" borderId="23" xfId="0" applyBorder="1"/>
    <xf numFmtId="0" fontId="0" fillId="0" borderId="14" xfId="0" applyBorder="1"/>
    <xf numFmtId="0" fontId="0" fillId="0" borderId="4" xfId="0" applyBorder="1"/>
    <xf numFmtId="0" fontId="0" fillId="0" borderId="0" xfId="0" applyAlignment="1">
      <alignment vertical="center"/>
    </xf>
    <xf numFmtId="3" fontId="4" fillId="0" borderId="0" xfId="0" applyNumberFormat="1" applyFont="1" applyAlignment="1">
      <alignment horizontal="right"/>
    </xf>
    <xf numFmtId="166" fontId="6" fillId="0" borderId="0" xfId="3" applyNumberFormat="1" applyFont="1" applyFill="1" applyBorder="1" applyAlignment="1">
      <alignment horizontal="center"/>
    </xf>
    <xf numFmtId="0" fontId="1" fillId="2" borderId="25" xfId="0" applyFont="1" applyFill="1" applyBorder="1" applyAlignment="1">
      <alignment horizontal="center" vertical="center"/>
    </xf>
    <xf numFmtId="0" fontId="1" fillId="2" borderId="18" xfId="0" applyFont="1" applyFill="1" applyBorder="1" applyAlignment="1">
      <alignment horizontal="center" vertical="center"/>
    </xf>
    <xf numFmtId="0" fontId="0" fillId="0" borderId="3" xfId="0" applyBorder="1" applyAlignment="1">
      <alignment wrapText="1"/>
    </xf>
    <xf numFmtId="0" fontId="1" fillId="2" borderId="29" xfId="0" applyFont="1" applyFill="1" applyBorder="1" applyAlignment="1">
      <alignment horizontal="center" vertical="center"/>
    </xf>
    <xf numFmtId="0" fontId="0" fillId="0" borderId="7" xfId="0" applyBorder="1" applyAlignment="1">
      <alignment horizontal="center"/>
    </xf>
    <xf numFmtId="0" fontId="0" fillId="0" borderId="14" xfId="0" applyBorder="1" applyAlignment="1">
      <alignment horizontal="center"/>
    </xf>
    <xf numFmtId="0" fontId="6" fillId="0" borderId="7" xfId="0" applyFont="1" applyBorder="1" applyAlignment="1">
      <alignment vertical="center"/>
    </xf>
    <xf numFmtId="0" fontId="0" fillId="0" borderId="0" xfId="0" applyAlignment="1">
      <alignment wrapText="1"/>
    </xf>
    <xf numFmtId="0" fontId="0" fillId="0" borderId="0" xfId="0" applyAlignment="1">
      <alignment horizontal="center" vertical="center"/>
    </xf>
    <xf numFmtId="0" fontId="0" fillId="0" borderId="39" xfId="0" applyBorder="1" applyAlignment="1">
      <alignment horizontal="left" vertical="center"/>
    </xf>
    <xf numFmtId="0" fontId="21" fillId="0" borderId="0" xfId="0" applyFont="1"/>
    <xf numFmtId="0" fontId="15" fillId="8" borderId="0" xfId="0" applyFont="1" applyFill="1" applyAlignment="1">
      <alignment horizontal="center" vertical="center" wrapText="1"/>
    </xf>
    <xf numFmtId="0" fontId="15" fillId="2" borderId="39" xfId="0" applyFont="1" applyFill="1" applyBorder="1" applyAlignment="1">
      <alignment horizontal="left" vertical="center"/>
    </xf>
    <xf numFmtId="164" fontId="0" fillId="0" borderId="2" xfId="0" applyNumberFormat="1" applyBorder="1" applyAlignment="1">
      <alignment horizontal="center" vertical="center"/>
    </xf>
    <xf numFmtId="0" fontId="0" fillId="0" borderId="39" xfId="0" applyBorder="1" applyAlignment="1">
      <alignment wrapText="1"/>
    </xf>
    <xf numFmtId="0" fontId="0" fillId="0" borderId="39" xfId="0" applyBorder="1" applyAlignment="1">
      <alignment vertical="top" wrapText="1"/>
    </xf>
    <xf numFmtId="0" fontId="0" fillId="0" borderId="39" xfId="0" applyBorder="1" applyAlignment="1">
      <alignment horizontal="left" vertical="center" wrapText="1"/>
    </xf>
    <xf numFmtId="0" fontId="2" fillId="0" borderId="39" xfId="1" applyBorder="1" applyAlignment="1">
      <alignment wrapText="1"/>
    </xf>
    <xf numFmtId="0" fontId="15" fillId="4" borderId="41"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6" fillId="0" borderId="0" xfId="0" applyFont="1" applyAlignment="1">
      <alignment wrapText="1"/>
    </xf>
    <xf numFmtId="0" fontId="15" fillId="2" borderId="39" xfId="0" applyFont="1" applyFill="1" applyBorder="1" applyAlignment="1">
      <alignment vertical="center" wrapText="1"/>
    </xf>
    <xf numFmtId="0" fontId="0" fillId="0" borderId="39" xfId="0" applyBorder="1" applyAlignment="1">
      <alignment vertical="center" wrapText="1"/>
    </xf>
    <xf numFmtId="0" fontId="6" fillId="0" borderId="46" xfId="0" applyFont="1" applyBorder="1" applyAlignment="1">
      <alignment wrapText="1"/>
    </xf>
    <xf numFmtId="0" fontId="0" fillId="0" borderId="46" xfId="0" applyBorder="1" applyAlignment="1">
      <alignment wrapText="1"/>
    </xf>
    <xf numFmtId="0" fontId="22" fillId="0" borderId="2" xfId="0" applyFont="1" applyBorder="1"/>
    <xf numFmtId="0" fontId="3" fillId="0" borderId="7" xfId="1" applyFont="1" applyBorder="1" applyAlignment="1">
      <alignment horizontal="center" vertical="top" wrapText="1"/>
    </xf>
    <xf numFmtId="0" fontId="6" fillId="0" borderId="0" xfId="0" applyFont="1"/>
    <xf numFmtId="0" fontId="0" fillId="0" borderId="1" xfId="0" applyBorder="1" applyAlignment="1">
      <alignment horizontal="center"/>
    </xf>
    <xf numFmtId="0" fontId="0" fillId="0" borderId="17" xfId="0" applyBorder="1"/>
    <xf numFmtId="0" fontId="0" fillId="0" borderId="18" xfId="0" applyBorder="1"/>
    <xf numFmtId="0" fontId="6" fillId="0" borderId="19" xfId="0" applyFont="1" applyBorder="1"/>
    <xf numFmtId="0" fontId="1" fillId="2" borderId="60" xfId="0" applyFont="1" applyFill="1" applyBorder="1" applyAlignment="1">
      <alignment horizontal="center"/>
    </xf>
    <xf numFmtId="0" fontId="7" fillId="2" borderId="60" xfId="0" applyFont="1" applyFill="1" applyBorder="1" applyAlignment="1">
      <alignment horizontal="center"/>
    </xf>
    <xf numFmtId="0" fontId="6" fillId="0" borderId="52" xfId="0" applyFont="1" applyBorder="1" applyAlignment="1">
      <alignment wrapText="1"/>
    </xf>
    <xf numFmtId="0" fontId="6" fillId="0" borderId="10" xfId="0" applyFont="1" applyBorder="1" applyAlignment="1">
      <alignment horizontal="left" vertical="center" wrapText="1"/>
    </xf>
    <xf numFmtId="164" fontId="3" fillId="5" borderId="1" xfId="4" applyNumberFormat="1" applyFont="1" applyFill="1" applyBorder="1" applyAlignment="1">
      <alignment horizontal="right" vertical="center" wrapText="1"/>
    </xf>
    <xf numFmtId="0" fontId="6" fillId="0" borderId="10" xfId="0" applyFont="1" applyBorder="1" applyAlignment="1">
      <alignment wrapText="1"/>
    </xf>
    <xf numFmtId="0" fontId="27" fillId="0" borderId="0" xfId="0" applyFont="1"/>
    <xf numFmtId="0" fontId="15" fillId="17" borderId="17" xfId="0" applyFont="1" applyFill="1" applyBorder="1" applyAlignment="1">
      <alignment horizontal="center" vertical="center"/>
    </xf>
    <xf numFmtId="0" fontId="15" fillId="17" borderId="25" xfId="0" applyFont="1" applyFill="1" applyBorder="1" applyAlignment="1">
      <alignment horizontal="center" vertical="center"/>
    </xf>
    <xf numFmtId="0" fontId="15" fillId="17" borderId="18" xfId="0" applyFont="1" applyFill="1" applyBorder="1" applyAlignment="1">
      <alignment horizontal="center" vertical="center"/>
    </xf>
    <xf numFmtId="0" fontId="22" fillId="0" borderId="4" xfId="0" applyFont="1" applyBorder="1"/>
    <xf numFmtId="0" fontId="22" fillId="0" borderId="1" xfId="0" applyFont="1" applyBorder="1"/>
    <xf numFmtId="0" fontId="28" fillId="17" borderId="24" xfId="0" applyFont="1" applyFill="1" applyBorder="1" applyAlignment="1">
      <alignment horizontal="center"/>
    </xf>
    <xf numFmtId="0" fontId="0" fillId="3" borderId="0" xfId="0" applyFill="1"/>
    <xf numFmtId="164" fontId="0" fillId="0" borderId="2" xfId="0" applyNumberFormat="1" applyBorder="1" applyAlignment="1">
      <alignment horizontal="center"/>
    </xf>
    <xf numFmtId="1"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31" fillId="0" borderId="21" xfId="0" applyFont="1" applyBorder="1"/>
    <xf numFmtId="2" fontId="0" fillId="0" borderId="21" xfId="0" applyNumberFormat="1" applyBorder="1" applyAlignment="1">
      <alignment horizontal="center" vertical="center"/>
    </xf>
    <xf numFmtId="1" fontId="0" fillId="0" borderId="20" xfId="0" applyNumberFormat="1" applyBorder="1" applyAlignment="1">
      <alignment horizontal="center" vertical="center"/>
    </xf>
    <xf numFmtId="1" fontId="0" fillId="0" borderId="21" xfId="0" applyNumberFormat="1" applyBorder="1" applyAlignment="1">
      <alignment horizontal="center" vertical="center"/>
    </xf>
    <xf numFmtId="0" fontId="15" fillId="17" borderId="70" xfId="0" applyFont="1" applyFill="1" applyBorder="1" applyAlignment="1">
      <alignment horizontal="center"/>
    </xf>
    <xf numFmtId="0" fontId="15" fillId="17" borderId="80" xfId="0" applyFont="1" applyFill="1" applyBorder="1"/>
    <xf numFmtId="0" fontId="15" fillId="17" borderId="62" xfId="0" applyFont="1" applyFill="1" applyBorder="1"/>
    <xf numFmtId="0" fontId="0" fillId="0" borderId="17" xfId="0" applyBorder="1" applyAlignment="1">
      <alignment horizontal="center"/>
    </xf>
    <xf numFmtId="3" fontId="0" fillId="0" borderId="7" xfId="0" applyNumberFormat="1" applyBorder="1"/>
    <xf numFmtId="168" fontId="0" fillId="0" borderId="2" xfId="0" applyNumberFormat="1" applyBorder="1"/>
    <xf numFmtId="0" fontId="22" fillId="0" borderId="35" xfId="0" applyFont="1" applyBorder="1"/>
    <xf numFmtId="0" fontId="22" fillId="0" borderId="7" xfId="0" applyFont="1" applyBorder="1"/>
    <xf numFmtId="0" fontId="22" fillId="0" borderId="19" xfId="0" applyFont="1" applyBorder="1"/>
    <xf numFmtId="0" fontId="22" fillId="0" borderId="3" xfId="0" applyFont="1" applyBorder="1"/>
    <xf numFmtId="0" fontId="22" fillId="0" borderId="20" xfId="0" applyFont="1" applyBorder="1"/>
    <xf numFmtId="0" fontId="22" fillId="0" borderId="36" xfId="0" applyFont="1" applyBorder="1"/>
    <xf numFmtId="0" fontId="22" fillId="0" borderId="14" xfId="0" applyFont="1" applyBorder="1"/>
    <xf numFmtId="0" fontId="22" fillId="0" borderId="23" xfId="0" applyFont="1" applyBorder="1"/>
    <xf numFmtId="167" fontId="22" fillId="0" borderId="4" xfId="2" applyNumberFormat="1" applyFont="1" applyBorder="1"/>
    <xf numFmtId="0" fontId="22" fillId="0" borderId="22" xfId="0" applyFont="1" applyBorder="1"/>
    <xf numFmtId="0" fontId="22" fillId="0" borderId="52" xfId="0" applyFont="1" applyBorder="1"/>
    <xf numFmtId="167" fontId="22" fillId="0" borderId="2" xfId="2" applyNumberFormat="1" applyFont="1" applyBorder="1"/>
    <xf numFmtId="164" fontId="22" fillId="0" borderId="2" xfId="0" applyNumberFormat="1" applyFont="1" applyBorder="1" applyAlignment="1">
      <alignment horizontal="center" vertical="center"/>
    </xf>
    <xf numFmtId="0" fontId="22" fillId="0" borderId="8" xfId="0" applyFont="1" applyBorder="1"/>
    <xf numFmtId="0" fontId="23" fillId="0" borderId="1" xfId="0" applyFont="1" applyBorder="1"/>
    <xf numFmtId="167" fontId="24" fillId="3" borderId="1" xfId="2" applyNumberFormat="1" applyFont="1" applyFill="1" applyBorder="1"/>
    <xf numFmtId="167" fontId="23" fillId="0" borderId="5" xfId="2" applyNumberFormat="1" applyFont="1" applyBorder="1"/>
    <xf numFmtId="164" fontId="22" fillId="0" borderId="2" xfId="0" applyNumberFormat="1" applyFont="1" applyBorder="1"/>
    <xf numFmtId="164" fontId="23" fillId="0" borderId="1" xfId="0" applyNumberFormat="1" applyFont="1" applyBorder="1"/>
    <xf numFmtId="3" fontId="23" fillId="0" borderId="4" xfId="0" applyNumberFormat="1" applyFont="1" applyBorder="1"/>
    <xf numFmtId="0" fontId="23" fillId="0" borderId="14" xfId="0" applyFont="1" applyBorder="1"/>
    <xf numFmtId="0" fontId="23" fillId="0" borderId="21" xfId="0" applyFont="1" applyBorder="1"/>
    <xf numFmtId="0" fontId="1" fillId="2" borderId="17" xfId="0" applyFont="1" applyFill="1" applyBorder="1" applyAlignment="1">
      <alignment horizontal="center" vertical="center"/>
    </xf>
    <xf numFmtId="0" fontId="0" fillId="0" borderId="4" xfId="0" applyBorder="1" applyAlignment="1">
      <alignment horizontal="center"/>
    </xf>
    <xf numFmtId="0" fontId="1" fillId="2" borderId="62" xfId="0" applyFont="1" applyFill="1" applyBorder="1" applyAlignment="1">
      <alignment horizontal="center"/>
    </xf>
    <xf numFmtId="0" fontId="1" fillId="2" borderId="17" xfId="0" applyFont="1" applyFill="1" applyBorder="1" applyAlignment="1">
      <alignment horizontal="center"/>
    </xf>
    <xf numFmtId="0" fontId="0" fillId="0" borderId="4" xfId="0" applyBorder="1" applyAlignment="1">
      <alignment horizontal="center" vertical="center"/>
    </xf>
    <xf numFmtId="0" fontId="0" fillId="0" borderId="14" xfId="0" applyBorder="1" applyAlignment="1">
      <alignment horizontal="center" vertical="center"/>
    </xf>
    <xf numFmtId="0" fontId="15" fillId="17" borderId="80" xfId="0" applyFont="1" applyFill="1" applyBorder="1" applyAlignment="1">
      <alignment horizontal="center" vertical="center"/>
    </xf>
    <xf numFmtId="0" fontId="0" fillId="0" borderId="17" xfId="0" applyBorder="1" applyAlignment="1">
      <alignment horizontal="center" vertical="center"/>
    </xf>
    <xf numFmtId="0" fontId="15" fillId="17" borderId="76" xfId="0" applyFont="1" applyFill="1" applyBorder="1" applyAlignment="1">
      <alignment horizontal="center"/>
    </xf>
    <xf numFmtId="0" fontId="0" fillId="0" borderId="1" xfId="0" applyBorder="1" applyAlignment="1">
      <alignment horizontal="center" vertical="center"/>
    </xf>
    <xf numFmtId="0" fontId="4" fillId="0" borderId="2" xfId="1" applyFont="1" applyBorder="1" applyAlignment="1">
      <alignment vertical="center"/>
    </xf>
    <xf numFmtId="164" fontId="4" fillId="0" borderId="2" xfId="1" applyNumberFormat="1" applyFont="1" applyBorder="1" applyAlignment="1">
      <alignment horizontal="center" vertical="center"/>
    </xf>
    <xf numFmtId="0" fontId="4" fillId="0" borderId="2" xfId="1" applyFont="1" applyBorder="1"/>
    <xf numFmtId="0" fontId="28" fillId="2" borderId="2" xfId="0" applyFont="1" applyFill="1" applyBorder="1" applyAlignment="1">
      <alignment horizontal="center"/>
    </xf>
    <xf numFmtId="0" fontId="4" fillId="0" borderId="2" xfId="1" applyFont="1" applyBorder="1" applyAlignment="1">
      <alignment horizontal="center"/>
    </xf>
    <xf numFmtId="0" fontId="28" fillId="2" borderId="2" xfId="0" applyFont="1" applyFill="1" applyBorder="1" applyAlignment="1">
      <alignment horizontal="center" vertical="center"/>
    </xf>
    <xf numFmtId="0" fontId="0" fillId="0" borderId="0" xfId="0" applyAlignment="1">
      <alignment horizontal="center"/>
    </xf>
    <xf numFmtId="0" fontId="28" fillId="2" borderId="4" xfId="0" applyFont="1" applyFill="1" applyBorder="1" applyAlignment="1">
      <alignment horizontal="center" vertical="center"/>
    </xf>
    <xf numFmtId="0" fontId="6" fillId="0" borderId="0" xfId="0" applyFont="1" applyAlignment="1">
      <alignment horizontal="left"/>
    </xf>
    <xf numFmtId="10" fontId="5" fillId="0" borderId="0" xfId="3" applyNumberFormat="1" applyFont="1" applyAlignment="1">
      <alignment horizontal="center" vertical="top"/>
    </xf>
    <xf numFmtId="171" fontId="5" fillId="0" borderId="0" xfId="11" applyNumberFormat="1" applyFont="1" applyAlignment="1">
      <alignment horizontal="center" vertical="center"/>
    </xf>
    <xf numFmtId="0" fontId="5" fillId="0" borderId="0" xfId="11" applyFont="1" applyAlignment="1">
      <alignment horizontal="center" vertical="center" wrapText="1"/>
    </xf>
    <xf numFmtId="0" fontId="34" fillId="0" borderId="36" xfId="0" applyFont="1" applyBorder="1" applyAlignment="1">
      <alignment vertical="center"/>
    </xf>
    <xf numFmtId="0" fontId="22" fillId="0" borderId="0" xfId="0" applyFont="1"/>
    <xf numFmtId="164" fontId="22" fillId="0" borderId="0" xfId="0" applyNumberFormat="1" applyFont="1" applyAlignment="1">
      <alignment horizontal="center" vertical="center"/>
    </xf>
    <xf numFmtId="0" fontId="16" fillId="0" borderId="77" xfId="0" applyFont="1" applyBorder="1" applyAlignment="1">
      <alignment horizontal="center"/>
    </xf>
    <xf numFmtId="168" fontId="0" fillId="0" borderId="2" xfId="0" applyNumberFormat="1" applyBorder="1" applyAlignment="1">
      <alignment horizontal="center"/>
    </xf>
    <xf numFmtId="0" fontId="16" fillId="0" borderId="65" xfId="0" applyFont="1" applyBorder="1" applyAlignment="1">
      <alignment horizontal="center"/>
    </xf>
    <xf numFmtId="0" fontId="22" fillId="0" borderId="21" xfId="0" applyFont="1" applyBorder="1"/>
    <xf numFmtId="0" fontId="15" fillId="17" borderId="70" xfId="0" applyFont="1" applyFill="1" applyBorder="1" applyAlignment="1">
      <alignment horizontal="center" vertical="center"/>
    </xf>
    <xf numFmtId="0" fontId="22" fillId="0" borderId="2" xfId="0" applyFont="1" applyBorder="1" applyAlignment="1">
      <alignment horizontal="right"/>
    </xf>
    <xf numFmtId="0" fontId="22" fillId="0" borderId="7" xfId="0" applyFont="1" applyBorder="1" applyAlignment="1">
      <alignment horizontal="right"/>
    </xf>
    <xf numFmtId="0" fontId="22" fillId="0" borderId="1" xfId="0" applyFont="1" applyBorder="1" applyAlignment="1">
      <alignment horizontal="right"/>
    </xf>
    <xf numFmtId="0" fontId="22" fillId="0" borderId="14" xfId="0" applyFont="1" applyBorder="1" applyAlignment="1">
      <alignment horizontal="right"/>
    </xf>
    <xf numFmtId="0" fontId="23" fillId="0" borderId="4" xfId="0" applyFont="1" applyBorder="1" applyAlignment="1">
      <alignment horizontal="right"/>
    </xf>
    <xf numFmtId="0" fontId="23" fillId="0" borderId="2" xfId="0" applyFont="1" applyBorder="1" applyAlignment="1">
      <alignment horizontal="right"/>
    </xf>
    <xf numFmtId="0" fontId="23" fillId="0" borderId="1" xfId="0" applyFont="1" applyBorder="1" applyAlignment="1">
      <alignment horizontal="right"/>
    </xf>
    <xf numFmtId="0" fontId="0" fillId="0" borderId="2" xfId="0" applyBorder="1" applyAlignment="1">
      <alignment horizontal="center" vertical="center" wrapText="1"/>
    </xf>
    <xf numFmtId="0" fontId="0" fillId="0" borderId="2" xfId="0" applyBorder="1" applyAlignment="1">
      <alignment wrapText="1"/>
    </xf>
    <xf numFmtId="0" fontId="0" fillId="0" borderId="0" xfId="0" applyAlignment="1">
      <alignment horizontal="left" vertical="center" wrapText="1"/>
    </xf>
    <xf numFmtId="0" fontId="2" fillId="4" borderId="91" xfId="1" applyFill="1" applyBorder="1" applyAlignment="1">
      <alignment horizontal="center" vertical="center"/>
    </xf>
    <xf numFmtId="3" fontId="0" fillId="0" borderId="0" xfId="0" applyNumberFormat="1"/>
    <xf numFmtId="0" fontId="15" fillId="2" borderId="13" xfId="0" applyFont="1" applyFill="1" applyBorder="1" applyAlignment="1">
      <alignment horizontal="center"/>
    </xf>
    <xf numFmtId="0" fontId="15" fillId="2" borderId="70" xfId="0" applyFont="1" applyFill="1" applyBorder="1" applyAlignment="1">
      <alignment horizontal="center"/>
    </xf>
    <xf numFmtId="0" fontId="2" fillId="0" borderId="39" xfId="1" applyBorder="1" applyAlignment="1">
      <alignment vertical="center" wrapText="1"/>
    </xf>
    <xf numFmtId="0" fontId="3" fillId="18" borderId="9" xfId="0" applyFont="1" applyFill="1" applyBorder="1" applyAlignment="1">
      <alignment wrapText="1"/>
    </xf>
    <xf numFmtId="0" fontId="3" fillId="18" borderId="8" xfId="0" applyFont="1" applyFill="1" applyBorder="1" applyAlignment="1">
      <alignment wrapText="1"/>
    </xf>
    <xf numFmtId="0" fontId="6" fillId="18" borderId="68" xfId="0" applyFont="1" applyFill="1" applyBorder="1" applyAlignment="1">
      <alignment horizontal="center"/>
    </xf>
    <xf numFmtId="0" fontId="6" fillId="18" borderId="67" xfId="0" applyFont="1" applyFill="1" applyBorder="1" applyAlignment="1">
      <alignment horizontal="center"/>
    </xf>
    <xf numFmtId="0" fontId="6" fillId="18" borderId="70" xfId="0" applyFont="1" applyFill="1" applyBorder="1" applyAlignment="1">
      <alignment horizontal="center"/>
    </xf>
    <xf numFmtId="0" fontId="41" fillId="18" borderId="0" xfId="0" applyFont="1" applyFill="1"/>
    <xf numFmtId="0" fontId="41" fillId="18" borderId="3" xfId="0" applyFont="1" applyFill="1" applyBorder="1"/>
    <xf numFmtId="0" fontId="39" fillId="4" borderId="91" xfId="1" applyFont="1" applyFill="1" applyBorder="1" applyAlignment="1">
      <alignment horizontal="center" vertical="center"/>
    </xf>
    <xf numFmtId="0" fontId="6" fillId="0" borderId="7" xfId="0" applyFont="1" applyBorder="1" applyAlignment="1">
      <alignment wrapText="1"/>
    </xf>
    <xf numFmtId="3" fontId="6" fillId="0" borderId="7" xfId="0" applyNumberFormat="1" applyFont="1" applyBorder="1" applyAlignment="1">
      <alignment horizontal="center" vertical="center" wrapText="1"/>
    </xf>
    <xf numFmtId="0" fontId="6" fillId="0" borderId="4" xfId="0" applyFont="1" applyBorder="1" applyAlignment="1">
      <alignment wrapText="1"/>
    </xf>
    <xf numFmtId="3" fontId="6" fillId="0" borderId="4" xfId="0" applyNumberFormat="1" applyFont="1" applyBorder="1" applyAlignment="1">
      <alignment horizontal="center" vertical="center" wrapText="1"/>
    </xf>
    <xf numFmtId="3" fontId="0" fillId="0" borderId="4" xfId="0" applyNumberFormat="1" applyBorder="1" applyAlignment="1">
      <alignment horizontal="center" vertical="center" wrapText="1"/>
    </xf>
    <xf numFmtId="3" fontId="0" fillId="0" borderId="2" xfId="0" applyNumberFormat="1" applyBorder="1" applyAlignment="1">
      <alignment horizontal="center" vertical="center" wrapText="1"/>
    </xf>
    <xf numFmtId="0" fontId="0" fillId="0" borderId="20" xfId="0" applyBorder="1" applyAlignment="1">
      <alignment wrapText="1"/>
    </xf>
    <xf numFmtId="164" fontId="0" fillId="0" borderId="2" xfId="0" applyNumberFormat="1" applyBorder="1" applyAlignment="1">
      <alignment horizontal="center" vertical="center" wrapText="1"/>
    </xf>
    <xf numFmtId="0" fontId="6" fillId="0" borderId="14" xfId="0" applyFont="1" applyBorder="1" applyAlignment="1">
      <alignment wrapText="1"/>
    </xf>
    <xf numFmtId="0" fontId="6" fillId="0" borderId="7" xfId="0" applyFont="1" applyBorder="1" applyAlignment="1">
      <alignment horizontal="center" wrapText="1"/>
    </xf>
    <xf numFmtId="164" fontId="6" fillId="0" borderId="7" xfId="0" applyNumberFormat="1" applyFont="1" applyBorder="1" applyAlignment="1">
      <alignment horizontal="center" vertical="center" wrapText="1"/>
    </xf>
    <xf numFmtId="0" fontId="0" fillId="0" borderId="4" xfId="0" applyBorder="1" applyAlignment="1">
      <alignment horizontal="center" wrapText="1"/>
    </xf>
    <xf numFmtId="164" fontId="0" fillId="0" borderId="6" xfId="0" applyNumberFormat="1" applyBorder="1" applyAlignment="1">
      <alignment horizontal="center" vertical="center" wrapText="1"/>
    </xf>
    <xf numFmtId="0" fontId="0" fillId="0" borderId="14" xfId="0" applyBorder="1" applyAlignment="1">
      <alignment wrapText="1"/>
    </xf>
    <xf numFmtId="164" fontId="0" fillId="0" borderId="14" xfId="0" applyNumberFormat="1" applyBorder="1" applyAlignment="1">
      <alignment horizontal="center" vertical="center" wrapText="1"/>
    </xf>
    <xf numFmtId="164" fontId="0" fillId="0" borderId="55" xfId="0" applyNumberFormat="1" applyBorder="1" applyAlignment="1">
      <alignment horizontal="center" vertical="center" wrapText="1"/>
    </xf>
    <xf numFmtId="0" fontId="6" fillId="0" borderId="2" xfId="0" applyFont="1" applyBorder="1" applyAlignment="1">
      <alignment wrapText="1"/>
    </xf>
    <xf numFmtId="0" fontId="6" fillId="0" borderId="1" xfId="0" applyFont="1" applyBorder="1" applyAlignment="1">
      <alignment wrapText="1"/>
    </xf>
    <xf numFmtId="164" fontId="4" fillId="0" borderId="2" xfId="0" applyNumberFormat="1" applyFont="1" applyBorder="1" applyAlignment="1">
      <alignment horizontal="center" vertical="center" wrapText="1"/>
    </xf>
    <xf numFmtId="0" fontId="0" fillId="0" borderId="7" xfId="0" applyBorder="1" applyAlignment="1">
      <alignment wrapText="1"/>
    </xf>
    <xf numFmtId="0" fontId="28" fillId="17" borderId="0" xfId="0" applyFont="1" applyFill="1" applyAlignment="1">
      <alignment horizontal="center" vertical="center" wrapText="1"/>
    </xf>
    <xf numFmtId="0" fontId="15" fillId="17" borderId="90" xfId="0" applyFont="1" applyFill="1" applyBorder="1" applyAlignment="1">
      <alignment horizontal="center" vertical="center" wrapText="1"/>
    </xf>
    <xf numFmtId="0" fontId="15" fillId="17" borderId="5" xfId="0" applyFont="1" applyFill="1" applyBorder="1" applyAlignment="1">
      <alignment horizontal="center" vertical="center" wrapText="1"/>
    </xf>
    <xf numFmtId="3" fontId="6" fillId="0" borderId="7" xfId="0" applyNumberFormat="1" applyFont="1" applyBorder="1" applyAlignment="1">
      <alignment horizontal="center" wrapText="1"/>
    </xf>
    <xf numFmtId="0" fontId="0" fillId="0" borderId="4" xfId="0" applyBorder="1" applyAlignment="1">
      <alignment wrapText="1"/>
    </xf>
    <xf numFmtId="3" fontId="0" fillId="0" borderId="4" xfId="0" applyNumberFormat="1" applyBorder="1" applyAlignment="1">
      <alignment horizontal="center" wrapText="1"/>
    </xf>
    <xf numFmtId="0" fontId="0" fillId="0" borderId="22" xfId="0" applyBorder="1" applyAlignment="1">
      <alignment wrapText="1"/>
    </xf>
    <xf numFmtId="3" fontId="0" fillId="0" borderId="2" xfId="0" applyNumberFormat="1" applyBorder="1" applyAlignment="1">
      <alignment horizontal="center" wrapText="1"/>
    </xf>
    <xf numFmtId="164" fontId="0" fillId="0" borderId="2" xfId="0" applyNumberFormat="1" applyBorder="1" applyAlignment="1">
      <alignment horizontal="center" wrapText="1"/>
    </xf>
    <xf numFmtId="164" fontId="6" fillId="0" borderId="14" xfId="0" applyNumberFormat="1" applyFont="1" applyBorder="1" applyAlignment="1">
      <alignment horizontal="center" wrapText="1"/>
    </xf>
    <xf numFmtId="0" fontId="15" fillId="17" borderId="47" xfId="0" applyFont="1" applyFill="1" applyBorder="1" applyAlignment="1">
      <alignment horizontal="center" vertical="center" wrapText="1"/>
    </xf>
    <xf numFmtId="0" fontId="15" fillId="17" borderId="36" xfId="0" applyFont="1" applyFill="1" applyBorder="1" applyAlignment="1">
      <alignment horizontal="center" vertical="center" wrapText="1"/>
    </xf>
    <xf numFmtId="168" fontId="0" fillId="0" borderId="2" xfId="0" applyNumberFormat="1" applyBorder="1" applyAlignment="1">
      <alignment horizontal="center" vertical="center" wrapText="1"/>
    </xf>
    <xf numFmtId="0" fontId="0" fillId="0" borderId="23" xfId="0" applyBorder="1" applyAlignment="1">
      <alignment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168" fontId="6" fillId="0" borderId="14" xfId="0" applyNumberFormat="1" applyFont="1" applyBorder="1" applyAlignment="1">
      <alignment horizontal="center" vertical="center" wrapText="1"/>
    </xf>
    <xf numFmtId="168" fontId="0" fillId="0" borderId="14" xfId="0" applyNumberFormat="1" applyBorder="1" applyAlignment="1">
      <alignment horizontal="center" vertical="center" wrapText="1"/>
    </xf>
    <xf numFmtId="0" fontId="15" fillId="17" borderId="0" xfId="0" applyFont="1" applyFill="1" applyAlignment="1">
      <alignment horizontal="center" vertical="center" wrapText="1"/>
    </xf>
    <xf numFmtId="0" fontId="28" fillId="17" borderId="36" xfId="0" applyFont="1" applyFill="1" applyBorder="1" applyAlignment="1">
      <alignment horizontal="center" vertical="center" wrapText="1"/>
    </xf>
    <xf numFmtId="0" fontId="0" fillId="0" borderId="2" xfId="0" applyBorder="1" applyAlignment="1">
      <alignment horizontal="center" wrapText="1"/>
    </xf>
    <xf numFmtId="3" fontId="0" fillId="0" borderId="7" xfId="0" applyNumberFormat="1" applyBorder="1" applyAlignment="1">
      <alignment horizontal="center" wrapText="1"/>
    </xf>
    <xf numFmtId="0" fontId="0" fillId="0" borderId="1" xfId="0" applyBorder="1" applyAlignment="1">
      <alignment wrapText="1"/>
    </xf>
    <xf numFmtId="0" fontId="6" fillId="0" borderId="2" xfId="0" applyFont="1" applyBorder="1" applyAlignment="1">
      <alignment horizontal="center" wrapText="1"/>
    </xf>
    <xf numFmtId="168" fontId="0" fillId="0" borderId="2" xfId="0" applyNumberFormat="1" applyBorder="1" applyAlignment="1">
      <alignment horizontal="center" wrapText="1"/>
    </xf>
    <xf numFmtId="3" fontId="0" fillId="0" borderId="7" xfId="0" applyNumberFormat="1" applyBorder="1" applyAlignment="1">
      <alignment wrapText="1"/>
    </xf>
    <xf numFmtId="164" fontId="0" fillId="0" borderId="2" xfId="0" applyNumberFormat="1" applyBorder="1" applyAlignment="1">
      <alignment wrapText="1"/>
    </xf>
    <xf numFmtId="164" fontId="0" fillId="0" borderId="14" xfId="0" applyNumberFormat="1" applyBorder="1" applyAlignment="1">
      <alignment horizontal="center" wrapText="1"/>
    </xf>
    <xf numFmtId="38" fontId="0" fillId="0" borderId="7" xfId="0" applyNumberFormat="1" applyBorder="1" applyAlignment="1">
      <alignment horizontal="center" wrapText="1"/>
    </xf>
    <xf numFmtId="164" fontId="6" fillId="0" borderId="2" xfId="0" applyNumberFormat="1" applyFont="1" applyBorder="1" applyAlignment="1">
      <alignment horizontal="center" wrapText="1"/>
    </xf>
    <xf numFmtId="0" fontId="0" fillId="0" borderId="0" xfId="0" applyAlignment="1">
      <alignment vertical="center" wrapText="1"/>
    </xf>
    <xf numFmtId="0" fontId="2" fillId="3" borderId="91" xfId="1" applyFill="1" applyBorder="1" applyAlignment="1">
      <alignment horizontal="center" vertical="center"/>
    </xf>
    <xf numFmtId="0" fontId="6" fillId="18" borderId="14" xfId="0" applyFont="1" applyFill="1" applyBorder="1" applyAlignment="1">
      <alignment horizontal="center" wrapText="1"/>
    </xf>
    <xf numFmtId="0" fontId="2" fillId="4" borderId="91" xfId="1" applyFill="1" applyBorder="1" applyAlignment="1">
      <alignment horizontal="center" vertical="center" wrapText="1"/>
    </xf>
    <xf numFmtId="0" fontId="1" fillId="2" borderId="27" xfId="0" applyFont="1" applyFill="1" applyBorder="1" applyAlignment="1">
      <alignment horizontal="center" wrapText="1"/>
    </xf>
    <xf numFmtId="0" fontId="1" fillId="2" borderId="81" xfId="0" applyFont="1" applyFill="1" applyBorder="1" applyAlignment="1">
      <alignment horizontal="center" wrapText="1"/>
    </xf>
    <xf numFmtId="0" fontId="1" fillId="2" borderId="2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vertical="center" wrapText="1"/>
    </xf>
    <xf numFmtId="0" fontId="0" fillId="0" borderId="52" xfId="0" applyBorder="1" applyAlignment="1">
      <alignment horizontal="center" vertical="center" wrapText="1"/>
    </xf>
    <xf numFmtId="2" fontId="0" fillId="0" borderId="3" xfId="0" applyNumberFormat="1" applyBorder="1" applyAlignment="1">
      <alignment horizontal="center" vertical="center" wrapText="1"/>
    </xf>
    <xf numFmtId="2" fontId="0" fillId="0" borderId="8" xfId="0" applyNumberFormat="1" applyBorder="1" applyAlignment="1">
      <alignment horizontal="center" vertical="center" wrapText="1"/>
    </xf>
    <xf numFmtId="0" fontId="1" fillId="2" borderId="80" xfId="0" applyFont="1" applyFill="1" applyBorder="1" applyAlignment="1">
      <alignment horizontal="center" wrapText="1"/>
    </xf>
    <xf numFmtId="0" fontId="4" fillId="2" borderId="76" xfId="0" applyFont="1" applyFill="1" applyBorder="1" applyAlignment="1">
      <alignment horizontal="center" wrapText="1"/>
    </xf>
    <xf numFmtId="0" fontId="42" fillId="0" borderId="19" xfId="0" applyFont="1" applyBorder="1" applyAlignment="1">
      <alignment wrapText="1"/>
    </xf>
    <xf numFmtId="0" fontId="0" fillId="0" borderId="10" xfId="0" applyBorder="1" applyAlignment="1">
      <alignment wrapText="1"/>
    </xf>
    <xf numFmtId="0" fontId="0" fillId="0" borderId="56" xfId="0" applyBorder="1" applyAlignment="1">
      <alignment wrapText="1"/>
    </xf>
    <xf numFmtId="0" fontId="43" fillId="0" borderId="20" xfId="0" applyFont="1" applyBorder="1" applyAlignment="1">
      <alignment wrapText="1"/>
    </xf>
    <xf numFmtId="0" fontId="0" fillId="0" borderId="6" xfId="0" applyBorder="1" applyAlignment="1">
      <alignment wrapText="1"/>
    </xf>
    <xf numFmtId="0" fontId="0" fillId="0" borderId="9" xfId="0" applyBorder="1" applyAlignment="1">
      <alignment wrapText="1"/>
    </xf>
    <xf numFmtId="0" fontId="0" fillId="0" borderId="52" xfId="0" applyBorder="1" applyAlignment="1">
      <alignment wrapText="1"/>
    </xf>
    <xf numFmtId="0" fontId="0" fillId="0" borderId="8" xfId="0" applyBorder="1" applyAlignment="1">
      <alignment wrapText="1"/>
    </xf>
    <xf numFmtId="0" fontId="4" fillId="2" borderId="76" xfId="0" applyFont="1" applyFill="1" applyBorder="1" applyAlignment="1">
      <alignment wrapText="1"/>
    </xf>
    <xf numFmtId="0" fontId="43" fillId="2" borderId="83" xfId="0" applyFont="1" applyFill="1" applyBorder="1" applyAlignment="1">
      <alignment wrapText="1"/>
    </xf>
    <xf numFmtId="0" fontId="0" fillId="0" borderId="72" xfId="0" applyBorder="1" applyAlignment="1">
      <alignment wrapText="1"/>
    </xf>
    <xf numFmtId="0" fontId="0" fillId="0" borderId="1" xfId="0" applyBorder="1" applyAlignment="1">
      <alignment horizontal="center" wrapText="1"/>
    </xf>
    <xf numFmtId="0" fontId="0" fillId="0" borderId="5" xfId="0" applyBorder="1" applyAlignment="1">
      <alignment horizontal="center" wrapText="1"/>
    </xf>
    <xf numFmtId="0" fontId="1" fillId="2" borderId="13"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8" xfId="0" applyFont="1" applyFill="1" applyBorder="1" applyAlignment="1">
      <alignment horizontal="center" wrapText="1"/>
    </xf>
    <xf numFmtId="0" fontId="1" fillId="2" borderId="28"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7" xfId="0" applyFont="1" applyFill="1" applyBorder="1" applyAlignment="1">
      <alignment horizontal="center" wrapText="1"/>
    </xf>
    <xf numFmtId="0" fontId="1" fillId="2" borderId="48" xfId="0" applyFont="1" applyFill="1" applyBorder="1" applyAlignment="1">
      <alignment horizontal="center" vertical="center" wrapText="1"/>
    </xf>
    <xf numFmtId="0" fontId="43" fillId="2" borderId="83" xfId="0" applyFont="1" applyFill="1" applyBorder="1" applyAlignment="1">
      <alignment horizontal="center" wrapText="1"/>
    </xf>
    <xf numFmtId="3" fontId="0" fillId="0" borderId="52" xfId="0" applyNumberFormat="1" applyBorder="1" applyAlignment="1">
      <alignment horizontal="center" wrapText="1"/>
    </xf>
    <xf numFmtId="3" fontId="0" fillId="0" borderId="20" xfId="0" applyNumberFormat="1" applyBorder="1" applyAlignment="1">
      <alignment horizontal="center" wrapText="1"/>
    </xf>
    <xf numFmtId="0" fontId="0" fillId="0" borderId="52" xfId="0" applyBorder="1" applyAlignment="1">
      <alignment horizontal="center" wrapText="1"/>
    </xf>
    <xf numFmtId="0" fontId="0" fillId="0" borderId="22" xfId="0" applyBorder="1" applyAlignment="1">
      <alignment horizontal="center" vertical="center" wrapText="1"/>
    </xf>
    <xf numFmtId="0" fontId="0" fillId="0" borderId="61" xfId="0" applyBorder="1" applyAlignment="1">
      <alignment wrapText="1"/>
    </xf>
    <xf numFmtId="0" fontId="0" fillId="0" borderId="54" xfId="0" applyBorder="1" applyAlignment="1">
      <alignment wrapText="1"/>
    </xf>
    <xf numFmtId="0" fontId="0" fillId="0" borderId="58" xfId="0" applyBorder="1" applyAlignment="1">
      <alignment wrapText="1"/>
    </xf>
    <xf numFmtId="164" fontId="0" fillId="0" borderId="21" xfId="0" applyNumberFormat="1" applyBorder="1" applyAlignment="1">
      <alignment horizontal="center" vertical="center" wrapText="1"/>
    </xf>
    <xf numFmtId="0" fontId="43" fillId="0" borderId="0" xfId="0" applyFont="1" applyAlignment="1">
      <alignment wrapText="1"/>
    </xf>
    <xf numFmtId="164" fontId="0" fillId="0" borderId="3" xfId="0" applyNumberFormat="1" applyBorder="1" applyAlignment="1">
      <alignment horizontal="center" wrapText="1"/>
    </xf>
    <xf numFmtId="0" fontId="1" fillId="2" borderId="0" xfId="0" applyFont="1" applyFill="1" applyAlignment="1">
      <alignment wrapText="1"/>
    </xf>
    <xf numFmtId="0" fontId="7" fillId="17" borderId="0" xfId="0" applyFont="1" applyFill="1" applyAlignment="1">
      <alignment wrapText="1"/>
    </xf>
    <xf numFmtId="0" fontId="21" fillId="0" borderId="36" xfId="0" applyFont="1" applyBorder="1" applyAlignment="1">
      <alignment vertical="center"/>
    </xf>
    <xf numFmtId="0" fontId="0" fillId="0" borderId="36" xfId="0" applyBorder="1" applyAlignment="1">
      <alignment vertical="center"/>
    </xf>
    <xf numFmtId="0" fontId="0" fillId="0" borderId="42" xfId="0" applyBorder="1" applyAlignment="1">
      <alignment vertical="center" wrapText="1"/>
    </xf>
    <xf numFmtId="0" fontId="4" fillId="0" borderId="39" xfId="0" applyFont="1" applyBorder="1" applyAlignment="1">
      <alignment vertical="center" wrapText="1"/>
    </xf>
    <xf numFmtId="0" fontId="0" fillId="0" borderId="97" xfId="0" applyBorder="1" applyAlignment="1">
      <alignment horizontal="left" vertical="center" wrapText="1"/>
    </xf>
    <xf numFmtId="0" fontId="0" fillId="0" borderId="98" xfId="0" applyBorder="1" applyAlignment="1">
      <alignment wrapText="1"/>
    </xf>
    <xf numFmtId="0" fontId="0" fillId="0" borderId="98" xfId="0" applyBorder="1" applyAlignment="1">
      <alignment vertical="top" wrapText="1"/>
    </xf>
    <xf numFmtId="0" fontId="2" fillId="0" borderId="98" xfId="1" applyBorder="1" applyAlignment="1">
      <alignment wrapText="1"/>
    </xf>
    <xf numFmtId="0" fontId="0" fillId="0" borderId="98" xfId="0" applyBorder="1" applyAlignment="1">
      <alignment vertical="center" wrapText="1"/>
    </xf>
    <xf numFmtId="0" fontId="0" fillId="0" borderId="101" xfId="0" applyBorder="1" applyAlignment="1">
      <alignment horizontal="left" vertical="center" wrapText="1"/>
    </xf>
    <xf numFmtId="0" fontId="0" fillId="0" borderId="102" xfId="0" applyBorder="1" applyAlignment="1">
      <alignment wrapText="1"/>
    </xf>
    <xf numFmtId="164" fontId="22" fillId="0" borderId="2" xfId="0" applyNumberFormat="1" applyFont="1" applyBorder="1" applyAlignment="1">
      <alignment horizontal="right"/>
    </xf>
    <xf numFmtId="164" fontId="22" fillId="0" borderId="4" xfId="0" applyNumberFormat="1" applyFont="1" applyBorder="1"/>
    <xf numFmtId="164" fontId="22" fillId="0" borderId="22" xfId="0" applyNumberFormat="1" applyFont="1" applyBorder="1"/>
    <xf numFmtId="164" fontId="22" fillId="0" borderId="20" xfId="0" applyNumberFormat="1" applyFont="1" applyBorder="1"/>
    <xf numFmtId="0" fontId="2" fillId="0" borderId="103" xfId="1" applyFill="1" applyBorder="1"/>
    <xf numFmtId="0" fontId="0" fillId="0" borderId="114" xfId="0" applyBorder="1" applyAlignment="1">
      <alignment wrapText="1"/>
    </xf>
    <xf numFmtId="3" fontId="0" fillId="0" borderId="114" xfId="0" applyNumberFormat="1" applyBorder="1" applyAlignment="1">
      <alignment horizontal="center" wrapText="1"/>
    </xf>
    <xf numFmtId="164" fontId="0" fillId="0" borderId="4" xfId="0" applyNumberFormat="1" applyBorder="1" applyAlignment="1">
      <alignment horizontal="center" wrapText="1"/>
    </xf>
    <xf numFmtId="0" fontId="6" fillId="0" borderId="117" xfId="0" applyFont="1" applyBorder="1" applyAlignment="1">
      <alignment wrapText="1"/>
    </xf>
    <xf numFmtId="3" fontId="6" fillId="0" borderId="117" xfId="0" applyNumberFormat="1" applyFont="1" applyBorder="1" applyAlignment="1">
      <alignment horizontal="center" wrapText="1"/>
    </xf>
    <xf numFmtId="0" fontId="0" fillId="0" borderId="117" xfId="0" applyBorder="1" applyAlignment="1">
      <alignment wrapText="1"/>
    </xf>
    <xf numFmtId="0" fontId="0" fillId="0" borderId="118" xfId="0" applyBorder="1" applyAlignment="1">
      <alignment wrapText="1"/>
    </xf>
    <xf numFmtId="3" fontId="0" fillId="0" borderId="118" xfId="0" applyNumberFormat="1" applyBorder="1" applyAlignment="1">
      <alignment horizontal="center" wrapText="1"/>
    </xf>
    <xf numFmtId="0" fontId="28" fillId="17" borderId="76" xfId="0" applyFont="1" applyFill="1" applyBorder="1" applyAlignment="1">
      <alignment horizontal="center" wrapText="1"/>
    </xf>
    <xf numFmtId="0" fontId="28" fillId="17" borderId="120" xfId="0" applyFont="1" applyFill="1" applyBorder="1" applyAlignment="1">
      <alignment horizontal="center" wrapText="1"/>
    </xf>
    <xf numFmtId="0" fontId="15" fillId="17" borderId="121" xfId="0" applyFont="1" applyFill="1" applyBorder="1" applyAlignment="1">
      <alignment horizontal="center" vertical="center" wrapText="1"/>
    </xf>
    <xf numFmtId="0" fontId="15" fillId="17" borderId="122" xfId="0" applyFont="1" applyFill="1" applyBorder="1" applyAlignment="1">
      <alignment horizontal="center" vertical="center" wrapText="1"/>
    </xf>
    <xf numFmtId="0" fontId="15" fillId="17" borderId="123"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18" borderId="1" xfId="0" applyFont="1" applyFill="1" applyBorder="1" applyAlignment="1">
      <alignment horizontal="center" wrapText="1"/>
    </xf>
    <xf numFmtId="0" fontId="6" fillId="0" borderId="71" xfId="0" applyFont="1" applyBorder="1" applyAlignment="1">
      <alignment wrapText="1"/>
    </xf>
    <xf numFmtId="0" fontId="6" fillId="0" borderId="8" xfId="0" applyFont="1" applyBorder="1" applyAlignment="1">
      <alignment wrapText="1"/>
    </xf>
    <xf numFmtId="0" fontId="6" fillId="0" borderId="125" xfId="0" applyFont="1" applyBorder="1" applyAlignment="1">
      <alignment wrapText="1"/>
    </xf>
    <xf numFmtId="164" fontId="0" fillId="0" borderId="1" xfId="0" applyNumberFormat="1" applyBorder="1" applyAlignment="1">
      <alignment wrapText="1"/>
    </xf>
    <xf numFmtId="0" fontId="28" fillId="17" borderId="127" xfId="0" applyFont="1" applyFill="1" applyBorder="1" applyAlignment="1">
      <alignment horizontal="center" vertical="center" wrapText="1"/>
    </xf>
    <xf numFmtId="0" fontId="15" fillId="17" borderId="128" xfId="0" applyFont="1" applyFill="1" applyBorder="1" applyAlignment="1">
      <alignment horizontal="center" vertical="center" wrapText="1"/>
    </xf>
    <xf numFmtId="0" fontId="15" fillId="17" borderId="129" xfId="0" applyFont="1" applyFill="1" applyBorder="1" applyAlignment="1">
      <alignment horizontal="center" vertical="center" wrapText="1"/>
    </xf>
    <xf numFmtId="0" fontId="15" fillId="17" borderId="127" xfId="0" applyFont="1" applyFill="1" applyBorder="1" applyAlignment="1">
      <alignment horizontal="center" vertical="center" wrapText="1"/>
    </xf>
    <xf numFmtId="0" fontId="15" fillId="17" borderId="15" xfId="0" applyFont="1" applyFill="1" applyBorder="1" applyAlignment="1">
      <alignment horizontal="center"/>
    </xf>
    <xf numFmtId="0" fontId="15" fillId="17" borderId="16" xfId="0" applyFont="1" applyFill="1" applyBorder="1" applyAlignment="1">
      <alignment horizontal="center"/>
    </xf>
    <xf numFmtId="0" fontId="15" fillId="17" borderId="26" xfId="0" applyFont="1" applyFill="1" applyBorder="1" applyAlignment="1">
      <alignment horizontal="center"/>
    </xf>
    <xf numFmtId="0" fontId="21" fillId="0" borderId="134" xfId="0" applyFont="1" applyBorder="1"/>
    <xf numFmtId="0" fontId="0" fillId="0" borderId="134" xfId="0" applyBorder="1"/>
    <xf numFmtId="0" fontId="15" fillId="2" borderId="40" xfId="0" applyFont="1" applyFill="1" applyBorder="1" applyAlignment="1">
      <alignment horizontal="left" vertical="center"/>
    </xf>
    <xf numFmtId="3" fontId="6" fillId="0" borderId="72" xfId="0" applyNumberFormat="1" applyFont="1" applyBorder="1" applyAlignment="1">
      <alignment horizontal="center" vertical="center" wrapText="1"/>
    </xf>
    <xf numFmtId="3" fontId="6" fillId="0" borderId="117" xfId="0" applyNumberFormat="1" applyFont="1" applyBorder="1" applyAlignment="1">
      <alignment horizontal="center" vertical="center" wrapText="1"/>
    </xf>
    <xf numFmtId="0" fontId="6" fillId="0" borderId="114" xfId="0" applyFont="1" applyBorder="1" applyAlignment="1">
      <alignment wrapText="1"/>
    </xf>
    <xf numFmtId="3" fontId="6" fillId="0" borderId="114"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3" fontId="0" fillId="0" borderId="117" xfId="0" applyNumberFormat="1" applyBorder="1" applyAlignment="1">
      <alignment horizontal="center" vertical="center" wrapText="1"/>
    </xf>
    <xf numFmtId="3" fontId="0" fillId="0" borderId="118" xfId="0" applyNumberFormat="1" applyBorder="1" applyAlignment="1">
      <alignment horizontal="center" vertical="center" wrapText="1"/>
    </xf>
    <xf numFmtId="0" fontId="0" fillId="0" borderId="134" xfId="0" applyBorder="1" applyAlignment="1">
      <alignment vertical="top"/>
    </xf>
    <xf numFmtId="0" fontId="2" fillId="0" borderId="138" xfId="1" applyFill="1" applyBorder="1" applyAlignment="1">
      <alignment vertical="top"/>
    </xf>
    <xf numFmtId="0" fontId="0" fillId="0" borderId="40" xfId="0" applyBorder="1" applyAlignment="1">
      <alignment vertical="top" wrapText="1"/>
    </xf>
    <xf numFmtId="0" fontId="2" fillId="0" borderId="39" xfId="1" applyBorder="1" applyAlignment="1">
      <alignment vertical="top" wrapText="1"/>
    </xf>
    <xf numFmtId="0" fontId="0" fillId="0" borderId="0" xfId="0" applyAlignment="1">
      <alignment vertical="top" wrapText="1"/>
    </xf>
    <xf numFmtId="0" fontId="0" fillId="0" borderId="2" xfId="0" applyBorder="1" applyAlignment="1">
      <alignment vertical="center"/>
    </xf>
    <xf numFmtId="167" fontId="25" fillId="3" borderId="14" xfId="2" applyNumberFormat="1" applyFont="1" applyFill="1" applyBorder="1" applyAlignment="1">
      <alignment horizontal="center" vertical="center"/>
    </xf>
    <xf numFmtId="169" fontId="3" fillId="3" borderId="7" xfId="2" applyNumberFormat="1" applyFont="1" applyFill="1" applyBorder="1" applyAlignment="1">
      <alignment vertical="center"/>
    </xf>
    <xf numFmtId="169" fontId="4" fillId="3" borderId="2" xfId="2" applyNumberFormat="1" applyFont="1" applyFill="1" applyBorder="1" applyAlignment="1">
      <alignment vertical="center"/>
    </xf>
    <xf numFmtId="169" fontId="4" fillId="3" borderId="20" xfId="2" applyNumberFormat="1" applyFont="1" applyFill="1" applyBorder="1" applyAlignment="1">
      <alignment vertical="center"/>
    </xf>
    <xf numFmtId="1" fontId="6" fillId="0" borderId="1" xfId="0" applyNumberFormat="1" applyFont="1" applyBorder="1" applyAlignment="1">
      <alignment vertical="center"/>
    </xf>
    <xf numFmtId="1" fontId="3" fillId="5" borderId="1" xfId="4" applyNumberFormat="1" applyFont="1" applyFill="1" applyBorder="1" applyAlignment="1">
      <alignment vertical="center" wrapText="1"/>
    </xf>
    <xf numFmtId="1" fontId="3" fillId="5" borderId="23" xfId="4" applyNumberFormat="1" applyFont="1" applyFill="1" applyBorder="1" applyAlignment="1">
      <alignment vertical="center" wrapText="1"/>
    </xf>
    <xf numFmtId="167" fontId="25" fillId="3" borderId="14" xfId="2" applyNumberFormat="1" applyFont="1" applyFill="1" applyBorder="1" applyAlignment="1">
      <alignment vertical="center"/>
    </xf>
    <xf numFmtId="167" fontId="25" fillId="3" borderId="21" xfId="2" applyNumberFormat="1" applyFont="1" applyFill="1" applyBorder="1" applyAlignment="1">
      <alignment vertical="center"/>
    </xf>
    <xf numFmtId="169" fontId="3" fillId="3" borderId="4" xfId="2" applyNumberFormat="1" applyFont="1" applyFill="1" applyBorder="1" applyAlignment="1">
      <alignment horizontal="center" vertical="center"/>
    </xf>
    <xf numFmtId="169" fontId="3" fillId="3" borderId="22" xfId="2" applyNumberFormat="1" applyFont="1" applyFill="1" applyBorder="1" applyAlignment="1">
      <alignment horizontal="center" vertical="center"/>
    </xf>
    <xf numFmtId="3" fontId="3" fillId="5" borderId="1" xfId="4" applyNumberFormat="1" applyFont="1" applyFill="1" applyBorder="1" applyAlignment="1">
      <alignment horizontal="right" vertical="center" wrapText="1"/>
    </xf>
    <xf numFmtId="164" fontId="6" fillId="3" borderId="14" xfId="0" applyNumberFormat="1" applyFont="1" applyFill="1" applyBorder="1" applyAlignment="1">
      <alignment horizontal="right" vertical="center"/>
    </xf>
    <xf numFmtId="164" fontId="6" fillId="3" borderId="21" xfId="0" applyNumberFormat="1" applyFont="1" applyFill="1" applyBorder="1" applyAlignment="1">
      <alignment horizontal="right" vertical="center"/>
    </xf>
    <xf numFmtId="0" fontId="0" fillId="0" borderId="7"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167" fontId="44" fillId="7" borderId="14" xfId="2" applyNumberFormat="1" applyFont="1" applyFill="1" applyBorder="1" applyAlignment="1">
      <alignment vertical="center"/>
    </xf>
    <xf numFmtId="0" fontId="45" fillId="6" borderId="7" xfId="0" applyFont="1" applyFill="1" applyBorder="1" applyAlignment="1">
      <alignment vertical="center"/>
    </xf>
    <xf numFmtId="164" fontId="36" fillId="6" borderId="2" xfId="0" applyNumberFormat="1" applyFont="1" applyFill="1" applyBorder="1" applyAlignment="1">
      <alignment vertical="center"/>
    </xf>
    <xf numFmtId="0" fontId="0" fillId="0" borderId="20" xfId="0" applyBorder="1" applyAlignment="1">
      <alignment vertical="center"/>
    </xf>
    <xf numFmtId="168" fontId="46" fillId="6" borderId="14" xfId="2" applyNumberFormat="1" applyFont="1" applyFill="1" applyBorder="1" applyAlignment="1">
      <alignment vertical="center"/>
    </xf>
    <xf numFmtId="0" fontId="0" fillId="0" borderId="21" xfId="0" applyBorder="1" applyAlignment="1">
      <alignment vertical="center"/>
    </xf>
    <xf numFmtId="0" fontId="0" fillId="0" borderId="14" xfId="0" applyBorder="1" applyAlignment="1">
      <alignment vertical="center"/>
    </xf>
    <xf numFmtId="167" fontId="3" fillId="3" borderId="7" xfId="2" applyNumberFormat="1" applyFont="1" applyFill="1" applyBorder="1" applyAlignment="1">
      <alignment vertical="center"/>
    </xf>
    <xf numFmtId="167" fontId="4" fillId="3" borderId="2" xfId="2" applyNumberFormat="1" applyFont="1" applyFill="1" applyBorder="1" applyAlignment="1">
      <alignment vertical="center"/>
    </xf>
    <xf numFmtId="168" fontId="25" fillId="3" borderId="14" xfId="2" applyNumberFormat="1" applyFont="1" applyFill="1" applyBorder="1" applyAlignment="1">
      <alignment vertical="center"/>
    </xf>
    <xf numFmtId="168" fontId="25" fillId="4" borderId="14" xfId="2" applyNumberFormat="1" applyFont="1" applyFill="1" applyBorder="1" applyAlignment="1">
      <alignment vertical="center"/>
    </xf>
    <xf numFmtId="168" fontId="25" fillId="0" borderId="14" xfId="2" applyNumberFormat="1" applyFont="1" applyFill="1" applyBorder="1" applyAlignment="1">
      <alignment vertical="center"/>
    </xf>
    <xf numFmtId="169" fontId="3" fillId="3" borderId="19" xfId="2" applyNumberFormat="1" applyFont="1" applyFill="1" applyBorder="1" applyAlignment="1">
      <alignment vertical="center"/>
    </xf>
    <xf numFmtId="169" fontId="0" fillId="0" borderId="2" xfId="0" applyNumberFormat="1" applyBorder="1" applyAlignment="1">
      <alignment vertical="center"/>
    </xf>
    <xf numFmtId="0" fontId="0" fillId="0" borderId="1" xfId="0" applyBorder="1" applyAlignment="1">
      <alignment vertical="center"/>
    </xf>
    <xf numFmtId="169" fontId="4" fillId="3" borderId="4" xfId="2" applyNumberFormat="1" applyFont="1" applyFill="1" applyBorder="1" applyAlignment="1">
      <alignment vertical="center"/>
    </xf>
    <xf numFmtId="169" fontId="4" fillId="3" borderId="22" xfId="2" applyNumberFormat="1" applyFont="1" applyFill="1" applyBorder="1" applyAlignment="1">
      <alignment vertical="center"/>
    </xf>
    <xf numFmtId="167" fontId="31" fillId="3" borderId="2" xfId="2" applyNumberFormat="1" applyFont="1" applyFill="1" applyBorder="1" applyAlignment="1">
      <alignment vertical="center"/>
    </xf>
    <xf numFmtId="169" fontId="25" fillId="3" borderId="2" xfId="2" applyNumberFormat="1" applyFont="1" applyFill="1" applyBorder="1" applyAlignment="1">
      <alignment vertical="center"/>
    </xf>
    <xf numFmtId="169" fontId="6" fillId="0" borderId="2" xfId="0" applyNumberFormat="1" applyFont="1" applyBorder="1" applyAlignment="1">
      <alignment vertical="center"/>
    </xf>
    <xf numFmtId="169" fontId="6" fillId="0" borderId="20" xfId="0" applyNumberFormat="1" applyFont="1" applyBorder="1" applyAlignment="1">
      <alignment vertical="center"/>
    </xf>
    <xf numFmtId="0" fontId="0" fillId="0" borderId="5" xfId="0" applyBorder="1" applyAlignment="1">
      <alignment vertical="center"/>
    </xf>
    <xf numFmtId="167" fontId="31" fillId="3" borderId="5" xfId="2" applyNumberFormat="1" applyFont="1" applyFill="1" applyBorder="1" applyAlignment="1">
      <alignment vertical="center"/>
    </xf>
    <xf numFmtId="167" fontId="25" fillId="3" borderId="5" xfId="2" applyNumberFormat="1" applyFont="1" applyFill="1" applyBorder="1" applyAlignment="1">
      <alignment vertical="center"/>
    </xf>
    <xf numFmtId="167" fontId="6" fillId="0" borderId="47" xfId="0" applyNumberFormat="1" applyFont="1" applyBorder="1" applyAlignment="1">
      <alignment vertical="center"/>
    </xf>
    <xf numFmtId="167" fontId="6" fillId="0" borderId="48" xfId="0" applyNumberFormat="1" applyFont="1" applyBorder="1" applyAlignment="1">
      <alignment vertical="center"/>
    </xf>
    <xf numFmtId="3" fontId="0" fillId="0" borderId="2" xfId="0" applyNumberFormat="1" applyBorder="1" applyAlignment="1">
      <alignment horizontal="right" vertical="center"/>
    </xf>
    <xf numFmtId="3" fontId="0" fillId="0" borderId="20" xfId="0" applyNumberFormat="1" applyBorder="1" applyAlignment="1">
      <alignment horizontal="right" vertical="center"/>
    </xf>
    <xf numFmtId="167" fontId="3" fillId="3" borderId="4" xfId="2" applyNumberFormat="1" applyFont="1" applyFill="1" applyBorder="1" applyAlignment="1">
      <alignment vertical="center"/>
    </xf>
    <xf numFmtId="0" fontId="6" fillId="0" borderId="4" xfId="0" applyFont="1" applyBorder="1" applyAlignment="1">
      <alignment vertical="center"/>
    </xf>
    <xf numFmtId="0" fontId="0" fillId="0" borderId="22" xfId="0" applyBorder="1" applyAlignment="1">
      <alignment vertical="center"/>
    </xf>
    <xf numFmtId="167" fontId="25" fillId="3" borderId="2" xfId="2" applyNumberFormat="1" applyFont="1" applyFill="1" applyBorder="1" applyAlignment="1">
      <alignment vertical="center"/>
    </xf>
    <xf numFmtId="167" fontId="3" fillId="3" borderId="2" xfId="2" applyNumberFormat="1" applyFont="1" applyFill="1" applyBorder="1" applyAlignment="1">
      <alignment vertical="center"/>
    </xf>
    <xf numFmtId="0" fontId="6" fillId="0" borderId="2" xfId="0" applyFont="1" applyBorder="1" applyAlignment="1">
      <alignment vertical="center"/>
    </xf>
    <xf numFmtId="168" fontId="25" fillId="3" borderId="2" xfId="2" applyNumberFormat="1" applyFont="1" applyFill="1" applyBorder="1" applyAlignment="1">
      <alignment vertical="center"/>
    </xf>
    <xf numFmtId="3" fontId="6" fillId="0" borderId="7" xfId="0" applyNumberFormat="1" applyFont="1" applyBorder="1" applyAlignment="1">
      <alignment horizontal="right" vertical="center"/>
    </xf>
    <xf numFmtId="3" fontId="6" fillId="0" borderId="19" xfId="0" applyNumberFormat="1" applyFont="1" applyBorder="1" applyAlignment="1">
      <alignment horizontal="right" vertical="center"/>
    </xf>
    <xf numFmtId="164" fontId="4" fillId="5" borderId="2" xfId="4" applyNumberFormat="1" applyFont="1" applyFill="1" applyBorder="1" applyAlignment="1" applyProtection="1">
      <alignment horizontal="right" vertical="center" wrapText="1"/>
      <protection locked="0"/>
    </xf>
    <xf numFmtId="164" fontId="4" fillId="3" borderId="2" xfId="2" applyNumberFormat="1" applyFont="1" applyFill="1" applyBorder="1" applyAlignment="1">
      <alignment horizontal="right" vertical="center"/>
    </xf>
    <xf numFmtId="164" fontId="0" fillId="0" borderId="2" xfId="0" applyNumberFormat="1" applyBorder="1" applyAlignment="1">
      <alignment horizontal="right" vertical="center"/>
    </xf>
    <xf numFmtId="164" fontId="3" fillId="5" borderId="1" xfId="4" applyNumberFormat="1" applyFont="1" applyFill="1" applyBorder="1" applyAlignment="1" applyProtection="1">
      <alignment horizontal="right" vertical="center" wrapText="1"/>
      <protection locked="0"/>
    </xf>
    <xf numFmtId="164" fontId="6" fillId="0" borderId="1" xfId="3" applyNumberFormat="1" applyFont="1" applyBorder="1" applyAlignment="1">
      <alignment horizontal="right" vertical="center"/>
    </xf>
    <xf numFmtId="167" fontId="3" fillId="0" borderId="2" xfId="2" applyNumberFormat="1" applyFont="1" applyFill="1" applyBorder="1" applyAlignment="1">
      <alignment horizontal="right" vertical="center"/>
    </xf>
    <xf numFmtId="167" fontId="3" fillId="3" borderId="2" xfId="2" applyNumberFormat="1" applyFont="1" applyFill="1" applyBorder="1" applyAlignment="1">
      <alignment horizontal="right" vertical="center"/>
    </xf>
    <xf numFmtId="167" fontId="4" fillId="0" borderId="2" xfId="2" applyNumberFormat="1" applyFont="1" applyFill="1" applyBorder="1" applyAlignment="1">
      <alignment horizontal="right" vertical="center"/>
    </xf>
    <xf numFmtId="167" fontId="4" fillId="3" borderId="2" xfId="2" applyNumberFormat="1" applyFont="1" applyFill="1" applyBorder="1" applyAlignment="1">
      <alignment horizontal="right" vertical="center"/>
    </xf>
    <xf numFmtId="167" fontId="44" fillId="6" borderId="14" xfId="2" applyNumberFormat="1" applyFont="1" applyFill="1" applyBorder="1" applyAlignment="1">
      <alignment horizontal="right" vertical="center"/>
    </xf>
    <xf numFmtId="167" fontId="3" fillId="3" borderId="7" xfId="2" applyNumberFormat="1" applyFont="1" applyFill="1" applyBorder="1" applyAlignment="1">
      <alignment horizontal="right" vertical="center"/>
    </xf>
    <xf numFmtId="164" fontId="6" fillId="0" borderId="7" xfId="0" applyNumberFormat="1" applyFont="1" applyBorder="1" applyAlignment="1">
      <alignment horizontal="right" vertical="center"/>
    </xf>
    <xf numFmtId="164" fontId="6" fillId="0" borderId="19" xfId="0" applyNumberFormat="1" applyFont="1" applyBorder="1" applyAlignment="1">
      <alignment horizontal="right" vertical="center"/>
    </xf>
    <xf numFmtId="164" fontId="0" fillId="0" borderId="20" xfId="0" applyNumberFormat="1" applyBorder="1" applyAlignment="1">
      <alignment horizontal="right" vertical="center"/>
    </xf>
    <xf numFmtId="164" fontId="3" fillId="3" borderId="7" xfId="0" applyNumberFormat="1" applyFont="1" applyFill="1" applyBorder="1" applyAlignment="1">
      <alignment horizontal="right" vertical="center"/>
    </xf>
    <xf numFmtId="0" fontId="6" fillId="0" borderId="7" xfId="0" applyFont="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164" fontId="4" fillId="3" borderId="2" xfId="0" applyNumberFormat="1" applyFont="1" applyFill="1" applyBorder="1" applyAlignment="1">
      <alignment horizontal="right" vertical="center"/>
    </xf>
    <xf numFmtId="0" fontId="0" fillId="0" borderId="14" xfId="0" applyBorder="1" applyAlignment="1">
      <alignment horizontal="right" vertical="center"/>
    </xf>
    <xf numFmtId="168" fontId="25" fillId="3" borderId="14" xfId="2" applyNumberFormat="1" applyFont="1" applyFill="1" applyBorder="1" applyAlignment="1">
      <alignment horizontal="right" vertical="center"/>
    </xf>
    <xf numFmtId="168" fontId="25" fillId="4" borderId="14" xfId="2" applyNumberFormat="1" applyFont="1" applyFill="1" applyBorder="1" applyAlignment="1">
      <alignment horizontal="right" vertical="center"/>
    </xf>
    <xf numFmtId="168" fontId="25" fillId="0" borderId="14" xfId="2" applyNumberFormat="1" applyFont="1" applyFill="1" applyBorder="1" applyAlignment="1">
      <alignment horizontal="right" vertical="center"/>
    </xf>
    <xf numFmtId="0" fontId="3" fillId="3" borderId="7" xfId="0" applyFont="1" applyFill="1" applyBorder="1" applyAlignment="1">
      <alignment horizontal="right" vertical="center"/>
    </xf>
    <xf numFmtId="0" fontId="6" fillId="0" borderId="116" xfId="0" applyFont="1" applyBorder="1" applyAlignment="1">
      <alignment wrapText="1"/>
    </xf>
    <xf numFmtId="0" fontId="6" fillId="0" borderId="141" xfId="0" applyFont="1" applyBorder="1" applyAlignment="1">
      <alignment wrapText="1"/>
    </xf>
    <xf numFmtId="0" fontId="0" fillId="0" borderId="116" xfId="0" applyBorder="1" applyAlignment="1">
      <alignment wrapText="1"/>
    </xf>
    <xf numFmtId="0" fontId="0" fillId="0" borderId="113" xfId="0" applyBorder="1" applyAlignment="1">
      <alignment wrapText="1"/>
    </xf>
    <xf numFmtId="0" fontId="28" fillId="17" borderId="127" xfId="0" applyFont="1" applyFill="1" applyBorder="1" applyAlignment="1">
      <alignment horizontal="center" wrapText="1"/>
    </xf>
    <xf numFmtId="0" fontId="6" fillId="0" borderId="2" xfId="0" applyFont="1" applyBorder="1" applyAlignment="1">
      <alignment horizontal="left"/>
    </xf>
    <xf numFmtId="0" fontId="0" fillId="0" borderId="2" xfId="0" applyBorder="1" applyAlignment="1">
      <alignment horizontal="left"/>
    </xf>
    <xf numFmtId="0" fontId="0" fillId="0" borderId="14" xfId="0" applyBorder="1" applyAlignment="1">
      <alignment horizontal="left"/>
    </xf>
    <xf numFmtId="0" fontId="6" fillId="0" borderId="7" xfId="0" applyFont="1" applyBorder="1" applyAlignment="1">
      <alignment horizontal="left"/>
    </xf>
    <xf numFmtId="0" fontId="6" fillId="0" borderId="52" xfId="0" applyFont="1" applyBorder="1" applyAlignment="1">
      <alignment horizontal="center" wrapText="1"/>
    </xf>
    <xf numFmtId="0" fontId="0" fillId="18" borderId="79" xfId="0" applyFill="1" applyBorder="1" applyAlignment="1">
      <alignment horizontal="center" wrapText="1"/>
    </xf>
    <xf numFmtId="0" fontId="2" fillId="0" borderId="98" xfId="1" applyBorder="1" applyAlignment="1">
      <alignment vertical="top" wrapText="1"/>
    </xf>
    <xf numFmtId="0" fontId="0" fillId="0" borderId="131" xfId="0" applyBorder="1" applyAlignment="1">
      <alignment vertical="top" wrapText="1"/>
    </xf>
    <xf numFmtId="0" fontId="0" fillId="0" borderId="102" xfId="0" applyBorder="1" applyAlignment="1">
      <alignment vertical="top" wrapText="1"/>
    </xf>
    <xf numFmtId="0" fontId="0" fillId="0" borderId="0" xfId="0" applyAlignment="1">
      <alignment vertical="top"/>
    </xf>
    <xf numFmtId="0" fontId="0" fillId="3" borderId="0" xfId="0" applyFill="1" applyAlignment="1">
      <alignment vertical="top"/>
    </xf>
    <xf numFmtId="3" fontId="0" fillId="0" borderId="7" xfId="0" applyNumberFormat="1" applyBorder="1" applyAlignment="1">
      <alignment horizontal="center"/>
    </xf>
    <xf numFmtId="0" fontId="6" fillId="0" borderId="10" xfId="0" applyFont="1" applyBorder="1" applyAlignment="1">
      <alignment horizontal="center" wrapText="1"/>
    </xf>
    <xf numFmtId="0" fontId="4" fillId="0" borderId="39" xfId="1" applyFont="1" applyBorder="1" applyAlignment="1">
      <alignment vertical="center" wrapText="1"/>
    </xf>
    <xf numFmtId="0" fontId="0" fillId="0" borderId="43" xfId="0" applyBorder="1" applyAlignment="1">
      <alignment horizontal="left" vertical="center"/>
    </xf>
    <xf numFmtId="3" fontId="48" fillId="0" borderId="7" xfId="0" applyNumberFormat="1" applyFont="1" applyBorder="1" applyAlignment="1">
      <alignment horizontal="center" wrapText="1"/>
    </xf>
    <xf numFmtId="0" fontId="45" fillId="19" borderId="8" xfId="0" applyFont="1" applyFill="1" applyBorder="1" applyAlignment="1">
      <alignment wrapText="1"/>
    </xf>
    <xf numFmtId="0" fontId="45" fillId="19" borderId="9" xfId="0" applyFont="1" applyFill="1" applyBorder="1" applyAlignment="1">
      <alignment horizontal="left" vertical="center" wrapText="1"/>
    </xf>
    <xf numFmtId="0" fontId="3" fillId="3" borderId="10" xfId="0" applyFont="1" applyFill="1" applyBorder="1" applyAlignment="1">
      <alignment wrapText="1"/>
    </xf>
    <xf numFmtId="0" fontId="4" fillId="3" borderId="3" xfId="0" applyFont="1" applyFill="1" applyBorder="1" applyAlignment="1">
      <alignment wrapText="1"/>
    </xf>
    <xf numFmtId="0" fontId="3" fillId="3" borderId="9" xfId="0" applyFont="1" applyFill="1" applyBorder="1" applyAlignment="1">
      <alignment wrapText="1"/>
    </xf>
    <xf numFmtId="0" fontId="3" fillId="18" borderId="53" xfId="0" applyFont="1" applyFill="1" applyBorder="1" applyAlignment="1">
      <alignment wrapText="1"/>
    </xf>
    <xf numFmtId="0" fontId="3" fillId="18" borderId="3" xfId="0" applyFont="1" applyFill="1" applyBorder="1" applyAlignment="1">
      <alignment wrapText="1"/>
    </xf>
    <xf numFmtId="0" fontId="3" fillId="18" borderId="31" xfId="0" applyFont="1" applyFill="1" applyBorder="1"/>
    <xf numFmtId="0" fontId="3" fillId="3" borderId="49" xfId="0" applyFont="1" applyFill="1" applyBorder="1"/>
    <xf numFmtId="0" fontId="4" fillId="3" borderId="50" xfId="0" applyFont="1" applyFill="1" applyBorder="1"/>
    <xf numFmtId="0" fontId="7" fillId="17" borderId="17" xfId="0" applyFont="1" applyFill="1" applyBorder="1" applyAlignment="1">
      <alignment horizontal="center"/>
    </xf>
    <xf numFmtId="0" fontId="7" fillId="17" borderId="17" xfId="0" applyFont="1" applyFill="1" applyBorder="1" applyAlignment="1">
      <alignment horizontal="center" vertical="center"/>
    </xf>
    <xf numFmtId="0" fontId="1" fillId="17" borderId="17" xfId="0" applyFont="1" applyFill="1" applyBorder="1" applyAlignment="1">
      <alignment horizontal="center" vertical="center"/>
    </xf>
    <xf numFmtId="0" fontId="1" fillId="17" borderId="25" xfId="0" applyFont="1" applyFill="1" applyBorder="1" applyAlignment="1">
      <alignment horizontal="center" vertical="center"/>
    </xf>
    <xf numFmtId="0" fontId="1" fillId="17" borderId="18" xfId="0" applyFont="1" applyFill="1" applyBorder="1" applyAlignment="1">
      <alignment horizontal="center" vertical="center"/>
    </xf>
    <xf numFmtId="164" fontId="3" fillId="3" borderId="52" xfId="0" applyNumberFormat="1" applyFont="1" applyFill="1" applyBorder="1"/>
    <xf numFmtId="164" fontId="3" fillId="3" borderId="4" xfId="0" applyNumberFormat="1" applyFont="1" applyFill="1" applyBorder="1"/>
    <xf numFmtId="164" fontId="3" fillId="3" borderId="4" xfId="2" applyNumberFormat="1" applyFont="1" applyFill="1" applyBorder="1"/>
    <xf numFmtId="164" fontId="3" fillId="3" borderId="72" xfId="2" applyNumberFormat="1" applyFont="1" applyFill="1" applyBorder="1"/>
    <xf numFmtId="164" fontId="4" fillId="3" borderId="3" xfId="0" applyNumberFormat="1" applyFont="1" applyFill="1" applyBorder="1"/>
    <xf numFmtId="164" fontId="4" fillId="3" borderId="2" xfId="0" applyNumberFormat="1" applyFont="1" applyFill="1" applyBorder="1"/>
    <xf numFmtId="164" fontId="4" fillId="3" borderId="2" xfId="2" applyNumberFormat="1" applyFont="1" applyFill="1" applyBorder="1"/>
    <xf numFmtId="164" fontId="4" fillId="3" borderId="6" xfId="2" applyNumberFormat="1" applyFont="1" applyFill="1" applyBorder="1"/>
    <xf numFmtId="164" fontId="31" fillId="3" borderId="8" xfId="2" applyNumberFormat="1" applyFont="1" applyFill="1" applyBorder="1"/>
    <xf numFmtId="164" fontId="31" fillId="3" borderId="1" xfId="2" applyNumberFormat="1" applyFont="1" applyFill="1" applyBorder="1"/>
    <xf numFmtId="164" fontId="31" fillId="3" borderId="71" xfId="2" applyNumberFormat="1" applyFont="1" applyFill="1" applyBorder="1"/>
    <xf numFmtId="0" fontId="1" fillId="17" borderId="24" xfId="0" applyFont="1" applyFill="1" applyBorder="1" applyAlignment="1">
      <alignment horizontal="center"/>
    </xf>
    <xf numFmtId="0" fontId="3" fillId="3" borderId="4" xfId="0" applyFont="1" applyFill="1" applyBorder="1"/>
    <xf numFmtId="167" fontId="3" fillId="3" borderId="2" xfId="2" applyNumberFormat="1" applyFont="1" applyFill="1" applyBorder="1"/>
    <xf numFmtId="167" fontId="3" fillId="3" borderId="4" xfId="2" applyNumberFormat="1" applyFont="1" applyFill="1" applyBorder="1"/>
    <xf numFmtId="167" fontId="3" fillId="3" borderId="72" xfId="2" applyNumberFormat="1" applyFont="1" applyFill="1" applyBorder="1"/>
    <xf numFmtId="0" fontId="4" fillId="3" borderId="2" xfId="0" applyFont="1" applyFill="1" applyBorder="1"/>
    <xf numFmtId="167" fontId="4" fillId="3" borderId="2" xfId="2" applyNumberFormat="1" applyFont="1" applyFill="1" applyBorder="1"/>
    <xf numFmtId="167" fontId="4" fillId="3" borderId="6" xfId="2" applyNumberFormat="1" applyFont="1" applyFill="1" applyBorder="1"/>
    <xf numFmtId="167" fontId="31" fillId="3" borderId="71" xfId="2" applyNumberFormat="1" applyFont="1" applyFill="1" applyBorder="1"/>
    <xf numFmtId="0" fontId="31" fillId="3" borderId="1" xfId="0" applyFont="1" applyFill="1" applyBorder="1"/>
    <xf numFmtId="167" fontId="31" fillId="3" borderId="2" xfId="2" applyNumberFormat="1" applyFont="1" applyFill="1" applyBorder="1"/>
    <xf numFmtId="167" fontId="31" fillId="3" borderId="1" xfId="2" applyNumberFormat="1" applyFont="1" applyFill="1" applyBorder="1"/>
    <xf numFmtId="0" fontId="7" fillId="17" borderId="24" xfId="0" applyFont="1" applyFill="1" applyBorder="1" applyAlignment="1">
      <alignment horizontal="center"/>
    </xf>
    <xf numFmtId="168" fontId="31" fillId="3" borderId="2" xfId="2" applyNumberFormat="1" applyFont="1" applyFill="1" applyBorder="1"/>
    <xf numFmtId="168" fontId="31" fillId="3" borderId="1" xfId="2" applyNumberFormat="1" applyFont="1" applyFill="1" applyBorder="1"/>
    <xf numFmtId="168" fontId="31" fillId="3" borderId="71" xfId="2" applyNumberFormat="1" applyFont="1" applyFill="1" applyBorder="1"/>
    <xf numFmtId="0" fontId="1" fillId="17" borderId="62" xfId="0" applyFont="1" applyFill="1" applyBorder="1" applyAlignment="1">
      <alignment horizontal="center"/>
    </xf>
    <xf numFmtId="0" fontId="42" fillId="17" borderId="17" xfId="0" applyFont="1" applyFill="1" applyBorder="1" applyAlignment="1">
      <alignment horizontal="center" vertical="center"/>
    </xf>
    <xf numFmtId="164" fontId="6" fillId="0" borderId="4" xfId="0" applyNumberFormat="1" applyFont="1" applyBorder="1"/>
    <xf numFmtId="164" fontId="0" fillId="0" borderId="2" xfId="0" applyNumberFormat="1" applyBorder="1"/>
    <xf numFmtId="0" fontId="6" fillId="0" borderId="2" xfId="0" applyFont="1" applyBorder="1"/>
    <xf numFmtId="0" fontId="7" fillId="0" borderId="0" xfId="1" applyFont="1" applyBorder="1" applyAlignment="1">
      <alignment vertical="center" wrapText="1"/>
    </xf>
    <xf numFmtId="0" fontId="7" fillId="0" borderId="0" xfId="0" applyFont="1"/>
    <xf numFmtId="164" fontId="0" fillId="0" borderId="1" xfId="0" applyNumberFormat="1" applyBorder="1" applyAlignment="1">
      <alignment horizontal="center" vertical="center" wrapText="1"/>
    </xf>
    <xf numFmtId="0" fontId="0" fillId="18" borderId="73" xfId="0" applyFill="1" applyBorder="1" applyAlignment="1">
      <alignment horizontal="center" wrapText="1"/>
    </xf>
    <xf numFmtId="164" fontId="6" fillId="0" borderId="4" xfId="0" applyNumberFormat="1" applyFont="1" applyBorder="1" applyAlignment="1">
      <alignment horizontal="center" vertical="center" wrapText="1"/>
    </xf>
    <xf numFmtId="0" fontId="0" fillId="18" borderId="14" xfId="0" applyFill="1" applyBorder="1" applyAlignment="1">
      <alignment horizontal="center" wrapText="1"/>
    </xf>
    <xf numFmtId="0" fontId="6" fillId="18" borderId="0" xfId="0" applyFont="1" applyFill="1" applyAlignment="1">
      <alignment horizontal="center" vertical="center" wrapText="1"/>
    </xf>
    <xf numFmtId="3" fontId="6" fillId="0" borderId="56" xfId="0" applyNumberFormat="1" applyFont="1" applyBorder="1" applyAlignment="1">
      <alignment horizontal="center" vertical="center" wrapText="1"/>
    </xf>
    <xf numFmtId="0" fontId="0" fillId="0" borderId="36" xfId="0" applyBorder="1" applyAlignment="1">
      <alignment wrapText="1"/>
    </xf>
    <xf numFmtId="168" fontId="6" fillId="0" borderId="38" xfId="0" applyNumberFormat="1" applyFont="1" applyBorder="1" applyAlignment="1">
      <alignment horizontal="center" vertical="center" wrapText="1"/>
    </xf>
    <xf numFmtId="0" fontId="1" fillId="2" borderId="40" xfId="0" applyFont="1" applyFill="1" applyBorder="1" applyAlignment="1">
      <alignment vertical="top"/>
    </xf>
    <xf numFmtId="0" fontId="0" fillId="0" borderId="39" xfId="0" applyBorder="1" applyAlignment="1">
      <alignment vertical="top"/>
    </xf>
    <xf numFmtId="0" fontId="0" fillId="0" borderId="41" xfId="0" applyBorder="1" applyAlignment="1">
      <alignment vertical="top"/>
    </xf>
    <xf numFmtId="0" fontId="0" fillId="2" borderId="39" xfId="0" applyFill="1" applyBorder="1" applyAlignment="1">
      <alignment vertical="top"/>
    </xf>
    <xf numFmtId="0" fontId="2" fillId="0" borderId="39" xfId="1" applyBorder="1" applyAlignment="1">
      <alignment vertical="top"/>
    </xf>
    <xf numFmtId="0" fontId="15" fillId="2" borderId="39" xfId="0" applyFont="1" applyFill="1" applyBorder="1" applyAlignment="1">
      <alignment horizontal="left" vertical="top"/>
    </xf>
    <xf numFmtId="0" fontId="4" fillId="0" borderId="39" xfId="0" applyFont="1" applyBorder="1" applyAlignment="1">
      <alignment vertical="top" wrapText="1"/>
    </xf>
    <xf numFmtId="0" fontId="0" fillId="0" borderId="0" xfId="0" applyAlignment="1">
      <alignment horizontal="right"/>
    </xf>
    <xf numFmtId="164" fontId="3" fillId="3" borderId="7" xfId="0" applyNumberFormat="1" applyFont="1" applyFill="1" applyBorder="1" applyAlignment="1">
      <alignment horizontal="right"/>
    </xf>
    <xf numFmtId="164" fontId="17" fillId="0" borderId="2" xfId="10" applyNumberFormat="1" applyBorder="1" applyAlignment="1">
      <alignment horizontal="right"/>
    </xf>
    <xf numFmtId="164" fontId="4" fillId="3" borderId="2" xfId="0" applyNumberFormat="1" applyFont="1" applyFill="1" applyBorder="1" applyAlignment="1">
      <alignment horizontal="right"/>
    </xf>
    <xf numFmtId="164" fontId="17" fillId="0" borderId="20" xfId="10" applyNumberFormat="1" applyBorder="1" applyAlignment="1">
      <alignment horizontal="right"/>
    </xf>
    <xf numFmtId="164" fontId="25" fillId="3" borderId="14" xfId="2" applyNumberFormat="1" applyFont="1" applyFill="1" applyBorder="1" applyAlignment="1">
      <alignment horizontal="right"/>
    </xf>
    <xf numFmtId="164" fontId="25" fillId="3" borderId="21" xfId="2" applyNumberFormat="1" applyFont="1" applyFill="1" applyBorder="1" applyAlignment="1">
      <alignment horizontal="right"/>
    </xf>
    <xf numFmtId="164" fontId="6" fillId="0" borderId="7" xfId="0" applyNumberFormat="1" applyFont="1" applyBorder="1" applyAlignment="1">
      <alignment horizontal="right"/>
    </xf>
    <xf numFmtId="164" fontId="5" fillId="0" borderId="2" xfId="0" applyNumberFormat="1" applyFont="1" applyBorder="1" applyAlignment="1">
      <alignment horizontal="right"/>
    </xf>
    <xf numFmtId="164" fontId="5" fillId="0" borderId="20" xfId="0" applyNumberFormat="1" applyFont="1" applyBorder="1" applyAlignment="1">
      <alignment horizontal="right"/>
    </xf>
    <xf numFmtId="0" fontId="6" fillId="0" borderId="4" xfId="0" applyFont="1" applyBorder="1" applyAlignment="1">
      <alignment horizontal="right"/>
    </xf>
    <xf numFmtId="3" fontId="6" fillId="0" borderId="4" xfId="0" applyNumberFormat="1" applyFont="1" applyBorder="1" applyAlignment="1">
      <alignment horizontal="right"/>
    </xf>
    <xf numFmtId="0" fontId="6" fillId="0" borderId="22" xfId="0" applyFont="1" applyBorder="1" applyAlignment="1">
      <alignment horizontal="right"/>
    </xf>
    <xf numFmtId="0" fontId="0" fillId="0" borderId="3" xfId="0" applyBorder="1" applyAlignment="1">
      <alignment horizontal="right"/>
    </xf>
    <xf numFmtId="0" fontId="0" fillId="0" borderId="2" xfId="0" applyBorder="1" applyAlignment="1">
      <alignment horizontal="right"/>
    </xf>
    <xf numFmtId="168" fontId="0" fillId="0" borderId="2" xfId="0" applyNumberFormat="1" applyBorder="1" applyAlignment="1">
      <alignment horizontal="right"/>
    </xf>
    <xf numFmtId="3" fontId="0" fillId="0" borderId="2" xfId="0" applyNumberFormat="1" applyBorder="1" applyAlignment="1">
      <alignment horizontal="right"/>
    </xf>
    <xf numFmtId="0" fontId="0" fillId="0" borderId="20" xfId="0" applyBorder="1" applyAlignment="1">
      <alignment horizontal="right"/>
    </xf>
    <xf numFmtId="0" fontId="0" fillId="0" borderId="9" xfId="0" applyBorder="1" applyAlignment="1">
      <alignment horizontal="right"/>
    </xf>
    <xf numFmtId="0" fontId="0" fillId="0" borderId="14" xfId="0" applyBorder="1" applyAlignment="1">
      <alignment horizontal="right"/>
    </xf>
    <xf numFmtId="168" fontId="0" fillId="0" borderId="14" xfId="0" applyNumberFormat="1" applyBorder="1" applyAlignment="1">
      <alignment horizontal="right"/>
    </xf>
    <xf numFmtId="3" fontId="0" fillId="0" borderId="14" xfId="0" applyNumberFormat="1" applyBorder="1" applyAlignment="1">
      <alignment horizontal="right"/>
    </xf>
    <xf numFmtId="0" fontId="0" fillId="0" borderId="21" xfId="0" applyBorder="1" applyAlignment="1">
      <alignment horizontal="right"/>
    </xf>
    <xf numFmtId="0" fontId="6" fillId="0" borderId="10" xfId="0" applyFont="1" applyBorder="1" applyAlignment="1">
      <alignment horizontal="right"/>
    </xf>
    <xf numFmtId="0" fontId="6" fillId="0" borderId="7" xfId="0" applyFont="1" applyBorder="1" applyAlignment="1">
      <alignment horizontal="right"/>
    </xf>
    <xf numFmtId="3" fontId="6" fillId="0" borderId="7" xfId="0" applyNumberFormat="1" applyFont="1" applyBorder="1" applyAlignment="1">
      <alignment horizontal="right"/>
    </xf>
    <xf numFmtId="0" fontId="6" fillId="0" borderId="19" xfId="0" applyFont="1" applyBorder="1" applyAlignment="1">
      <alignment horizontal="right"/>
    </xf>
    <xf numFmtId="0" fontId="6" fillId="0" borderId="14" xfId="0" applyFont="1" applyBorder="1" applyAlignment="1">
      <alignment horizontal="right"/>
    </xf>
    <xf numFmtId="3" fontId="6" fillId="0" borderId="14" xfId="0" applyNumberFormat="1" applyFont="1" applyBorder="1" applyAlignment="1">
      <alignment horizontal="right"/>
    </xf>
    <xf numFmtId="3" fontId="0" fillId="0" borderId="1" xfId="0" applyNumberFormat="1" applyBorder="1" applyAlignment="1">
      <alignment horizontal="right"/>
    </xf>
    <xf numFmtId="0" fontId="0" fillId="0" borderId="6" xfId="0" applyBorder="1" applyAlignment="1">
      <alignment horizontal="right"/>
    </xf>
    <xf numFmtId="3" fontId="0" fillId="0" borderId="3" xfId="0" applyNumberFormat="1" applyBorder="1" applyAlignment="1">
      <alignment horizontal="right"/>
    </xf>
    <xf numFmtId="0" fontId="0" fillId="0" borderId="55" xfId="0" applyBorder="1" applyAlignment="1">
      <alignment horizontal="right"/>
    </xf>
    <xf numFmtId="164" fontId="6" fillId="0" borderId="9" xfId="0" applyNumberFormat="1" applyFont="1" applyBorder="1" applyAlignment="1">
      <alignment horizontal="right"/>
    </xf>
    <xf numFmtId="0" fontId="6" fillId="0" borderId="9" xfId="0" applyFont="1" applyBorder="1" applyAlignment="1">
      <alignment horizontal="right"/>
    </xf>
    <xf numFmtId="0" fontId="6" fillId="0" borderId="56" xfId="0" applyFont="1" applyBorder="1" applyAlignment="1">
      <alignment horizontal="right"/>
    </xf>
    <xf numFmtId="3" fontId="6" fillId="0" borderId="10" xfId="0" applyNumberFormat="1" applyFont="1" applyBorder="1" applyAlignment="1">
      <alignment horizontal="right"/>
    </xf>
    <xf numFmtId="168" fontId="6" fillId="0" borderId="9" xfId="0" applyNumberFormat="1" applyFont="1" applyBorder="1" applyAlignment="1">
      <alignment horizontal="right"/>
    </xf>
    <xf numFmtId="0" fontId="6" fillId="0" borderId="21" xfId="0" applyFont="1" applyBorder="1" applyAlignment="1">
      <alignment horizontal="right"/>
    </xf>
    <xf numFmtId="0" fontId="0" fillId="0" borderId="10" xfId="0" applyBorder="1" applyAlignment="1">
      <alignment horizontal="right"/>
    </xf>
    <xf numFmtId="0" fontId="0" fillId="0" borderId="56" xfId="0" applyBorder="1" applyAlignment="1">
      <alignment horizontal="right"/>
    </xf>
    <xf numFmtId="0" fontId="0" fillId="0" borderId="7" xfId="0" applyBorder="1" applyAlignment="1">
      <alignment horizontal="right"/>
    </xf>
    <xf numFmtId="0" fontId="0" fillId="0" borderId="19" xfId="0" applyBorder="1" applyAlignment="1">
      <alignment horizontal="right"/>
    </xf>
    <xf numFmtId="0" fontId="0" fillId="0" borderId="52" xfId="0" applyBorder="1" applyAlignment="1">
      <alignment horizontal="right"/>
    </xf>
    <xf numFmtId="0" fontId="0" fillId="0" borderId="72" xfId="0" applyBorder="1" applyAlignment="1">
      <alignment horizontal="right"/>
    </xf>
    <xf numFmtId="3" fontId="6" fillId="0" borderId="52" xfId="0" applyNumberFormat="1" applyFont="1" applyBorder="1" applyAlignment="1">
      <alignment horizontal="right"/>
    </xf>
    <xf numFmtId="0" fontId="6" fillId="0" borderId="52" xfId="0" applyFont="1" applyBorder="1" applyAlignment="1">
      <alignment horizontal="right"/>
    </xf>
    <xf numFmtId="0" fontId="0" fillId="0" borderId="4" xfId="0" applyBorder="1" applyAlignment="1">
      <alignment horizontal="right"/>
    </xf>
    <xf numFmtId="0" fontId="0" fillId="0" borderId="22" xfId="0" applyBorder="1" applyAlignment="1">
      <alignment horizontal="right"/>
    </xf>
    <xf numFmtId="0" fontId="0" fillId="0" borderId="8" xfId="0" applyBorder="1" applyAlignment="1">
      <alignment horizontal="right"/>
    </xf>
    <xf numFmtId="0" fontId="0" fillId="0" borderId="71" xfId="0" applyBorder="1" applyAlignment="1">
      <alignment horizontal="right"/>
    </xf>
    <xf numFmtId="168" fontId="6" fillId="0" borderId="8" xfId="0" applyNumberFormat="1" applyFont="1" applyBorder="1" applyAlignment="1">
      <alignment horizontal="right"/>
    </xf>
    <xf numFmtId="0" fontId="6" fillId="0" borderId="8" xfId="0" applyFont="1" applyBorder="1" applyAlignment="1">
      <alignment horizontal="right"/>
    </xf>
    <xf numFmtId="0" fontId="6" fillId="0" borderId="1" xfId="0" applyFont="1" applyBorder="1" applyAlignment="1">
      <alignment horizontal="right"/>
    </xf>
    <xf numFmtId="0" fontId="0" fillId="0" borderId="1" xfId="0" applyBorder="1" applyAlignment="1">
      <alignment horizontal="right"/>
    </xf>
    <xf numFmtId="0" fontId="0" fillId="0" borderId="23" xfId="0" applyBorder="1" applyAlignment="1">
      <alignment horizontal="right"/>
    </xf>
    <xf numFmtId="0" fontId="0" fillId="0" borderId="74" xfId="0" applyBorder="1" applyAlignment="1">
      <alignment horizontal="right"/>
    </xf>
    <xf numFmtId="0" fontId="0" fillId="0" borderId="69" xfId="0" applyBorder="1" applyAlignment="1">
      <alignment horizontal="right"/>
    </xf>
    <xf numFmtId="0" fontId="0" fillId="0" borderId="75" xfId="0" applyBorder="1" applyAlignment="1">
      <alignment horizontal="right"/>
    </xf>
    <xf numFmtId="0" fontId="6" fillId="0" borderId="2" xfId="0" applyFont="1" applyBorder="1" applyAlignment="1">
      <alignment horizontal="right"/>
    </xf>
    <xf numFmtId="3" fontId="0" fillId="0" borderId="9" xfId="0" applyNumberFormat="1" applyBorder="1" applyAlignment="1">
      <alignment horizontal="right"/>
    </xf>
    <xf numFmtId="0" fontId="0" fillId="0" borderId="62" xfId="0" applyBorder="1" applyAlignment="1">
      <alignment horizontal="right"/>
    </xf>
    <xf numFmtId="0" fontId="0" fillId="0" borderId="25" xfId="0" applyBorder="1" applyAlignment="1">
      <alignment horizontal="right"/>
    </xf>
    <xf numFmtId="168" fontId="6" fillId="0" borderId="62" xfId="0" applyNumberFormat="1" applyFont="1" applyBorder="1" applyAlignment="1">
      <alignment horizontal="right"/>
    </xf>
    <xf numFmtId="0" fontId="6" fillId="0" borderId="62" xfId="0" applyFont="1" applyBorder="1" applyAlignment="1">
      <alignment horizontal="right"/>
    </xf>
    <xf numFmtId="0" fontId="6" fillId="0" borderId="17" xfId="0" applyFont="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6" fillId="0" borderId="20" xfId="0" applyFont="1" applyBorder="1" applyAlignment="1">
      <alignment horizontal="right"/>
    </xf>
    <xf numFmtId="164" fontId="6" fillId="0" borderId="1" xfId="0" applyNumberFormat="1" applyFont="1" applyBorder="1" applyAlignment="1">
      <alignment horizontal="right"/>
    </xf>
    <xf numFmtId="168" fontId="6" fillId="0" borderId="7" xfId="0" applyNumberFormat="1" applyFont="1" applyBorder="1" applyAlignment="1">
      <alignment horizontal="right"/>
    </xf>
    <xf numFmtId="168" fontId="13" fillId="0" borderId="2" xfId="0" applyNumberFormat="1" applyFont="1" applyBorder="1" applyAlignment="1">
      <alignment horizontal="right" wrapText="1"/>
    </xf>
    <xf numFmtId="168" fontId="13" fillId="0" borderId="1" xfId="0" applyNumberFormat="1" applyFont="1" applyBorder="1" applyAlignment="1">
      <alignment horizontal="right" wrapText="1"/>
    </xf>
    <xf numFmtId="168" fontId="13" fillId="0" borderId="55" xfId="0" applyNumberFormat="1" applyFont="1" applyBorder="1" applyAlignment="1">
      <alignment horizontal="right" wrapText="1"/>
    </xf>
    <xf numFmtId="168" fontId="13" fillId="0" borderId="14" xfId="0" applyNumberFormat="1" applyFont="1" applyBorder="1" applyAlignment="1">
      <alignment horizontal="right" wrapText="1"/>
    </xf>
    <xf numFmtId="168" fontId="0" fillId="0" borderId="9" xfId="0" applyNumberFormat="1" applyBorder="1" applyAlignment="1">
      <alignment horizontal="right"/>
    </xf>
    <xf numFmtId="0" fontId="0" fillId="0" borderId="95" xfId="0" applyBorder="1" applyAlignment="1">
      <alignment horizontal="right"/>
    </xf>
    <xf numFmtId="168" fontId="0" fillId="0" borderId="7" xfId="0" applyNumberFormat="1" applyBorder="1" applyAlignment="1">
      <alignment horizontal="right"/>
    </xf>
    <xf numFmtId="168" fontId="0" fillId="0" borderId="10" xfId="0" applyNumberFormat="1" applyBorder="1" applyAlignment="1">
      <alignment horizontal="right"/>
    </xf>
    <xf numFmtId="0" fontId="0" fillId="0" borderId="94" xfId="0" applyBorder="1" applyAlignment="1">
      <alignment horizontal="right"/>
    </xf>
    <xf numFmtId="168" fontId="0" fillId="0" borderId="3" xfId="0" applyNumberFormat="1" applyBorder="1" applyAlignment="1">
      <alignment horizontal="right"/>
    </xf>
    <xf numFmtId="0" fontId="0" fillId="0" borderId="96" xfId="0" applyBorder="1" applyAlignment="1">
      <alignment horizontal="right"/>
    </xf>
    <xf numFmtId="168" fontId="0" fillId="0" borderId="4" xfId="0" applyNumberFormat="1" applyBorder="1" applyAlignment="1">
      <alignment horizontal="right"/>
    </xf>
    <xf numFmtId="168" fontId="0" fillId="0" borderId="47" xfId="0" applyNumberFormat="1" applyBorder="1" applyAlignment="1">
      <alignment horizontal="right"/>
    </xf>
    <xf numFmtId="164" fontId="25" fillId="3" borderId="47" xfId="2" applyNumberFormat="1" applyFont="1" applyFill="1" applyBorder="1" applyAlignment="1">
      <alignment horizontal="right"/>
    </xf>
    <xf numFmtId="164" fontId="6" fillId="0" borderId="47" xfId="0" applyNumberFormat="1" applyFont="1" applyBorder="1" applyAlignment="1">
      <alignment horizontal="right"/>
    </xf>
    <xf numFmtId="164" fontId="0" fillId="0" borderId="2" xfId="0" applyNumberFormat="1" applyBorder="1" applyAlignment="1">
      <alignment horizontal="right"/>
    </xf>
    <xf numFmtId="169" fontId="3" fillId="3" borderId="7" xfId="2" applyNumberFormat="1" applyFont="1" applyFill="1" applyBorder="1" applyAlignment="1">
      <alignment horizontal="right"/>
    </xf>
    <xf numFmtId="3" fontId="6" fillId="0" borderId="19" xfId="0" applyNumberFormat="1" applyFont="1" applyBorder="1" applyAlignment="1">
      <alignment horizontal="right"/>
    </xf>
    <xf numFmtId="169" fontId="4" fillId="3" borderId="2" xfId="2" applyNumberFormat="1" applyFont="1" applyFill="1" applyBorder="1" applyAlignment="1">
      <alignment horizontal="right"/>
    </xf>
    <xf numFmtId="3" fontId="0" fillId="0" borderId="20" xfId="0" applyNumberFormat="1" applyBorder="1" applyAlignment="1">
      <alignment horizontal="right"/>
    </xf>
    <xf numFmtId="0" fontId="0" fillId="3" borderId="14" xfId="0" applyFill="1" applyBorder="1" applyAlignment="1">
      <alignment horizontal="right"/>
    </xf>
    <xf numFmtId="0" fontId="0" fillId="3" borderId="7" xfId="0" applyFill="1" applyBorder="1" applyAlignment="1">
      <alignment horizontal="right"/>
    </xf>
    <xf numFmtId="0" fontId="0" fillId="3" borderId="7" xfId="0" applyFill="1" applyBorder="1" applyAlignment="1">
      <alignment horizontal="right" vertical="center"/>
    </xf>
    <xf numFmtId="169" fontId="3" fillId="3" borderId="7" xfId="2" applyNumberFormat="1" applyFont="1" applyFill="1" applyBorder="1" applyAlignment="1">
      <alignment horizontal="right" vertical="center"/>
    </xf>
    <xf numFmtId="0" fontId="0" fillId="3" borderId="2" xfId="0" applyFill="1" applyBorder="1" applyAlignment="1">
      <alignment horizontal="right"/>
    </xf>
    <xf numFmtId="0" fontId="0" fillId="3" borderId="2" xfId="0" applyFill="1" applyBorder="1" applyAlignment="1">
      <alignment horizontal="right" vertical="center"/>
    </xf>
    <xf numFmtId="169" fontId="4" fillId="3" borderId="2" xfId="2" applyNumberFormat="1" applyFont="1" applyFill="1" applyBorder="1" applyAlignment="1">
      <alignment horizontal="right" vertical="center"/>
    </xf>
    <xf numFmtId="169" fontId="25" fillId="3" borderId="2" xfId="2" applyNumberFormat="1" applyFont="1" applyFill="1" applyBorder="1" applyAlignment="1">
      <alignment horizontal="right" vertical="center"/>
    </xf>
    <xf numFmtId="169" fontId="25" fillId="3" borderId="20" xfId="2" applyNumberFormat="1" applyFont="1" applyFill="1" applyBorder="1" applyAlignment="1">
      <alignment horizontal="right" vertical="center"/>
    </xf>
    <xf numFmtId="0" fontId="0" fillId="3" borderId="14" xfId="0" applyFill="1" applyBorder="1" applyAlignment="1">
      <alignment horizontal="right" vertical="center"/>
    </xf>
    <xf numFmtId="167" fontId="25" fillId="3" borderId="14" xfId="2" applyNumberFormat="1" applyFont="1" applyFill="1" applyBorder="1" applyAlignment="1">
      <alignment horizontal="right" vertical="center"/>
    </xf>
    <xf numFmtId="169" fontId="31" fillId="3" borderId="2" xfId="2" applyNumberFormat="1" applyFont="1" applyFill="1" applyBorder="1" applyAlignment="1">
      <alignment horizontal="right" vertical="center"/>
    </xf>
    <xf numFmtId="170" fontId="0" fillId="0" borderId="0" xfId="0" applyNumberFormat="1" applyAlignment="1">
      <alignment horizontal="right"/>
    </xf>
    <xf numFmtId="164" fontId="6" fillId="0" borderId="7" xfId="3" applyNumberFormat="1" applyFont="1" applyFill="1" applyBorder="1" applyAlignment="1">
      <alignment horizontal="right"/>
    </xf>
    <xf numFmtId="164" fontId="6" fillId="0" borderId="2" xfId="3" applyNumberFormat="1" applyFont="1" applyFill="1" applyBorder="1" applyAlignment="1">
      <alignment horizontal="right"/>
    </xf>
    <xf numFmtId="164" fontId="6" fillId="0" borderId="1" xfId="3" applyNumberFormat="1" applyFont="1" applyFill="1" applyBorder="1" applyAlignment="1">
      <alignment horizontal="right"/>
    </xf>
    <xf numFmtId="168" fontId="6" fillId="0" borderId="14" xfId="0" applyNumberFormat="1" applyFont="1" applyBorder="1" applyAlignment="1">
      <alignment horizontal="center" vertical="center"/>
    </xf>
    <xf numFmtId="0" fontId="2" fillId="0" borderId="146" xfId="1" applyFill="1" applyBorder="1" applyAlignment="1">
      <alignment vertical="top" wrapText="1"/>
    </xf>
    <xf numFmtId="0" fontId="4" fillId="0" borderId="131" xfId="1" applyFont="1" applyFill="1" applyBorder="1" applyAlignment="1">
      <alignment vertical="top" wrapText="1"/>
    </xf>
    <xf numFmtId="3" fontId="0" fillId="0" borderId="0" xfId="0" applyNumberFormat="1" applyAlignment="1">
      <alignment wrapText="1"/>
    </xf>
    <xf numFmtId="0" fontId="0" fillId="0" borderId="149" xfId="0" applyBorder="1" applyAlignment="1">
      <alignment horizontal="left" vertical="center" wrapText="1"/>
    </xf>
    <xf numFmtId="0" fontId="0" fillId="0" borderId="150" xfId="0" applyBorder="1" applyAlignment="1">
      <alignment vertical="top" wrapText="1"/>
    </xf>
    <xf numFmtId="0" fontId="0" fillId="0" borderId="151" xfId="0" applyBorder="1" applyAlignment="1">
      <alignment horizontal="left" vertical="center" wrapText="1"/>
    </xf>
    <xf numFmtId="0" fontId="0" fillId="0" borderId="152" xfId="0" applyBorder="1" applyAlignment="1">
      <alignment vertical="top" wrapText="1"/>
    </xf>
    <xf numFmtId="0" fontId="2" fillId="0" borderId="152" xfId="1" applyBorder="1" applyAlignment="1">
      <alignment vertical="top" wrapText="1"/>
    </xf>
    <xf numFmtId="0" fontId="2" fillId="0" borderId="155" xfId="1" applyFill="1" applyBorder="1"/>
    <xf numFmtId="0" fontId="4" fillId="0" borderId="152" xfId="1" applyFont="1" applyBorder="1" applyAlignment="1">
      <alignment vertical="top" wrapText="1"/>
    </xf>
    <xf numFmtId="0" fontId="0" fillId="0" borderId="158" xfId="0" applyBorder="1" applyAlignment="1">
      <alignment horizontal="left" vertical="center" wrapText="1"/>
    </xf>
    <xf numFmtId="0" fontId="0" fillId="0" borderId="159" xfId="0" applyBorder="1" applyAlignment="1">
      <alignment vertical="top" wrapText="1"/>
    </xf>
    <xf numFmtId="0" fontId="0" fillId="3" borderId="152" xfId="0" applyFill="1" applyBorder="1" applyAlignment="1">
      <alignment vertical="top" wrapText="1"/>
    </xf>
    <xf numFmtId="0" fontId="0" fillId="3" borderId="98" xfId="0" applyFill="1" applyBorder="1" applyAlignment="1">
      <alignment vertical="top" wrapText="1"/>
    </xf>
    <xf numFmtId="0" fontId="0" fillId="0" borderId="40" xfId="0" applyBorder="1" applyAlignment="1">
      <alignment horizontal="left" vertical="center" wrapText="1"/>
    </xf>
    <xf numFmtId="0" fontId="0" fillId="0" borderId="160" xfId="0" applyBorder="1" applyAlignment="1">
      <alignment horizontal="left" vertical="center" wrapText="1"/>
    </xf>
    <xf numFmtId="0" fontId="0" fillId="0" borderId="161" xfId="0" applyBorder="1" applyAlignment="1">
      <alignment vertical="top" wrapText="1"/>
    </xf>
    <xf numFmtId="0" fontId="4" fillId="0" borderId="98" xfId="1" applyFont="1" applyBorder="1" applyAlignment="1">
      <alignment vertical="top" wrapText="1"/>
    </xf>
    <xf numFmtId="0" fontId="39" fillId="0" borderId="98" xfId="1" applyFont="1" applyBorder="1" applyAlignment="1">
      <alignment vertical="top" wrapText="1"/>
    </xf>
    <xf numFmtId="0" fontId="0" fillId="3" borderId="103" xfId="0" applyFill="1" applyBorder="1" applyAlignment="1">
      <alignment vertical="top"/>
    </xf>
    <xf numFmtId="0" fontId="21" fillId="0" borderId="51" xfId="0" applyFont="1" applyBorder="1"/>
    <xf numFmtId="0" fontId="0" fillId="0" borderId="51" xfId="0" applyBorder="1"/>
    <xf numFmtId="0" fontId="21" fillId="3" borderId="51" xfId="0" applyFont="1" applyFill="1" applyBorder="1"/>
    <xf numFmtId="0" fontId="0" fillId="3" borderId="51" xfId="0" applyFill="1" applyBorder="1"/>
    <xf numFmtId="0" fontId="4" fillId="0" borderId="39" xfId="0" applyFont="1" applyBorder="1" applyAlignment="1">
      <alignment wrapText="1"/>
    </xf>
    <xf numFmtId="0" fontId="21" fillId="0" borderId="134" xfId="0" applyFont="1" applyBorder="1" applyAlignment="1">
      <alignment vertical="center"/>
    </xf>
    <xf numFmtId="0" fontId="0" fillId="0" borderId="134" xfId="0" applyBorder="1" applyAlignment="1">
      <alignment vertical="center"/>
    </xf>
    <xf numFmtId="0" fontId="2" fillId="0" borderId="138" xfId="1" applyBorder="1" applyAlignment="1">
      <alignment vertical="center" wrapText="1"/>
    </xf>
    <xf numFmtId="0" fontId="2" fillId="0" borderId="138" xfId="1" applyFill="1" applyBorder="1" applyAlignment="1">
      <alignment vertical="center"/>
    </xf>
    <xf numFmtId="0" fontId="0" fillId="0" borderId="40" xfId="0" applyBorder="1" applyAlignment="1">
      <alignment vertical="center" wrapText="1"/>
    </xf>
    <xf numFmtId="0" fontId="0" fillId="4" borderId="39" xfId="0" applyFill="1" applyBorder="1" applyAlignment="1">
      <alignment horizontal="center" vertical="center" wrapText="1"/>
    </xf>
    <xf numFmtId="0" fontId="2" fillId="4" borderId="39" xfId="1" applyFill="1" applyBorder="1" applyAlignment="1">
      <alignment wrapText="1"/>
    </xf>
    <xf numFmtId="0" fontId="39" fillId="4" borderId="39" xfId="1" applyFont="1" applyFill="1" applyBorder="1" applyAlignment="1">
      <alignment horizontal="center" vertical="center" wrapText="1"/>
    </xf>
    <xf numFmtId="0" fontId="0" fillId="11" borderId="39" xfId="0" applyFill="1" applyBorder="1" applyAlignment="1">
      <alignment horizontal="center" vertical="center" wrapText="1"/>
    </xf>
    <xf numFmtId="0" fontId="2" fillId="11" borderId="39" xfId="1" applyFill="1" applyBorder="1" applyAlignment="1">
      <alignment wrapText="1"/>
    </xf>
    <xf numFmtId="0" fontId="39" fillId="11" borderId="39" xfId="1" applyFont="1" applyFill="1" applyBorder="1" applyAlignment="1">
      <alignment horizontal="center" vertical="center" wrapText="1"/>
    </xf>
    <xf numFmtId="0" fontId="2" fillId="11" borderId="39" xfId="1" applyFill="1" applyBorder="1" applyAlignment="1">
      <alignment horizontal="center" vertical="center" wrapText="1"/>
    </xf>
    <xf numFmtId="0" fontId="0" fillId="10" borderId="39" xfId="0" applyFill="1" applyBorder="1" applyAlignment="1">
      <alignment horizontal="center" vertical="center" wrapText="1"/>
    </xf>
    <xf numFmtId="0" fontId="2" fillId="10" borderId="39" xfId="1" applyFill="1" applyBorder="1" applyAlignment="1">
      <alignment wrapText="1"/>
    </xf>
    <xf numFmtId="0" fontId="39" fillId="10" borderId="39" xfId="1" applyFont="1" applyFill="1" applyBorder="1" applyAlignment="1">
      <alignment horizontal="center" vertical="center" wrapText="1"/>
    </xf>
    <xf numFmtId="0" fontId="2" fillId="10" borderId="39" xfId="1" applyFill="1" applyBorder="1" applyAlignment="1">
      <alignment horizontal="center" vertical="center" wrapText="1"/>
    </xf>
    <xf numFmtId="0" fontId="0" fillId="12" borderId="39" xfId="0" applyFill="1" applyBorder="1" applyAlignment="1">
      <alignment horizontal="center" vertical="center" wrapText="1"/>
    </xf>
    <xf numFmtId="0" fontId="2" fillId="12" borderId="39" xfId="1" applyFill="1" applyBorder="1" applyAlignment="1">
      <alignment wrapText="1"/>
    </xf>
    <xf numFmtId="0" fontId="39" fillId="12" borderId="39" xfId="1" applyFont="1" applyFill="1" applyBorder="1" applyAlignment="1">
      <alignment horizontal="center" vertical="center" wrapText="1"/>
    </xf>
    <xf numFmtId="0" fontId="2" fillId="12" borderId="39" xfId="1" applyFill="1" applyBorder="1" applyAlignment="1">
      <alignment horizontal="center" vertical="center" wrapText="1"/>
    </xf>
    <xf numFmtId="0" fontId="0" fillId="9" borderId="39" xfId="0" applyFill="1" applyBorder="1" applyAlignment="1">
      <alignment horizontal="center" vertical="center" wrapText="1"/>
    </xf>
    <xf numFmtId="0" fontId="2" fillId="9" borderId="39" xfId="1" applyFill="1" applyBorder="1" applyAlignment="1">
      <alignment wrapText="1"/>
    </xf>
    <xf numFmtId="0" fontId="39" fillId="9" borderId="39" xfId="1" applyFont="1" applyFill="1" applyBorder="1" applyAlignment="1">
      <alignment horizontal="center" vertical="center" wrapText="1"/>
    </xf>
    <xf numFmtId="0" fontId="2" fillId="9" borderId="39" xfId="1" applyFill="1" applyBorder="1" applyAlignment="1">
      <alignment horizontal="center" vertical="center" wrapText="1"/>
    </xf>
    <xf numFmtId="0" fontId="0" fillId="13" borderId="39" xfId="0" applyFill="1" applyBorder="1" applyAlignment="1">
      <alignment horizontal="center" vertical="center" wrapText="1"/>
    </xf>
    <xf numFmtId="0" fontId="2" fillId="13" borderId="39" xfId="1" applyFill="1" applyBorder="1" applyAlignment="1">
      <alignment wrapText="1"/>
    </xf>
    <xf numFmtId="0" fontId="39" fillId="13" borderId="39" xfId="1" applyFont="1" applyFill="1" applyBorder="1" applyAlignment="1">
      <alignment horizontal="center" vertical="center" wrapText="1"/>
    </xf>
    <xf numFmtId="0" fontId="2" fillId="13" borderId="39" xfId="1" applyFill="1" applyBorder="1" applyAlignment="1">
      <alignment horizontal="center" vertical="center" wrapText="1"/>
    </xf>
    <xf numFmtId="0" fontId="0" fillId="14" borderId="39" xfId="0" applyFill="1" applyBorder="1" applyAlignment="1">
      <alignment horizontal="center" vertical="center" wrapText="1"/>
    </xf>
    <xf numFmtId="0" fontId="2" fillId="14" borderId="39" xfId="1" applyFill="1" applyBorder="1" applyAlignment="1">
      <alignment wrapText="1"/>
    </xf>
    <xf numFmtId="0" fontId="39" fillId="14" borderId="39" xfId="1" applyFont="1" applyFill="1" applyBorder="1" applyAlignment="1">
      <alignment horizontal="center" vertical="center" wrapText="1"/>
    </xf>
    <xf numFmtId="0" fontId="2" fillId="14" borderId="39" xfId="1" applyFill="1" applyBorder="1" applyAlignment="1">
      <alignment horizontal="center" vertical="center" wrapText="1"/>
    </xf>
    <xf numFmtId="0" fontId="0" fillId="15" borderId="39" xfId="0" applyFill="1" applyBorder="1" applyAlignment="1">
      <alignment horizontal="center" vertical="center" wrapText="1"/>
    </xf>
    <xf numFmtId="0" fontId="2" fillId="15" borderId="39" xfId="1" applyFill="1" applyBorder="1" applyAlignment="1">
      <alignment wrapText="1"/>
    </xf>
    <xf numFmtId="0" fontId="39" fillId="15" borderId="39" xfId="1" applyFont="1" applyFill="1" applyBorder="1" applyAlignment="1">
      <alignment horizontal="center" vertical="center" wrapText="1"/>
    </xf>
    <xf numFmtId="0" fontId="2" fillId="15" borderId="39" xfId="1" applyFill="1" applyBorder="1" applyAlignment="1">
      <alignment horizontal="center" vertical="center" wrapText="1"/>
    </xf>
    <xf numFmtId="0" fontId="0" fillId="16" borderId="39" xfId="0" applyFill="1" applyBorder="1" applyAlignment="1">
      <alignment horizontal="center" vertical="center" wrapText="1"/>
    </xf>
    <xf numFmtId="0" fontId="2" fillId="16" borderId="39" xfId="1" applyFill="1" applyBorder="1" applyAlignment="1">
      <alignment wrapText="1"/>
    </xf>
    <xf numFmtId="0" fontId="39" fillId="16" borderId="39" xfId="1" applyFont="1" applyFill="1" applyBorder="1" applyAlignment="1">
      <alignment horizontal="center" vertical="center" wrapText="1"/>
    </xf>
    <xf numFmtId="0" fontId="2" fillId="16" borderId="39" xfId="1" applyFill="1" applyBorder="1" applyAlignment="1">
      <alignment horizontal="center" vertical="center" wrapText="1"/>
    </xf>
    <xf numFmtId="0" fontId="0" fillId="0" borderId="0" xfId="0" applyAlignment="1">
      <alignment horizontal="center" vertical="center" wrapText="1"/>
    </xf>
    <xf numFmtId="0" fontId="0" fillId="3" borderId="0" xfId="0" applyFill="1" applyAlignment="1">
      <alignment vertical="center"/>
    </xf>
    <xf numFmtId="0" fontId="0" fillId="3" borderId="39" xfId="0" applyFill="1" applyBorder="1" applyAlignment="1">
      <alignment vertical="center" wrapText="1"/>
    </xf>
    <xf numFmtId="0" fontId="0" fillId="0" borderId="138" xfId="0" applyBorder="1" applyAlignment="1">
      <alignment horizontal="left" vertical="center" wrapText="1"/>
    </xf>
    <xf numFmtId="0" fontId="3" fillId="0" borderId="2" xfId="1" applyFont="1" applyFill="1" applyBorder="1" applyAlignment="1">
      <alignment vertical="center"/>
    </xf>
    <xf numFmtId="0" fontId="17" fillId="0" borderId="0" xfId="10"/>
    <xf numFmtId="164" fontId="0" fillId="0" borderId="0" xfId="0" applyNumberFormat="1"/>
    <xf numFmtId="169" fontId="0" fillId="0" borderId="0" xfId="0" applyNumberFormat="1"/>
    <xf numFmtId="169" fontId="0" fillId="0" borderId="0" xfId="2" applyNumberFormat="1" applyFont="1" applyFill="1" applyAlignment="1">
      <alignment horizontal="right"/>
    </xf>
    <xf numFmtId="168" fontId="50" fillId="0" borderId="0" xfId="0" applyNumberFormat="1" applyFont="1"/>
    <xf numFmtId="164" fontId="0" fillId="0" borderId="22" xfId="0" applyNumberFormat="1" applyBorder="1" applyAlignment="1">
      <alignment horizontal="right"/>
    </xf>
    <xf numFmtId="167" fontId="6" fillId="0" borderId="19" xfId="2" applyNumberFormat="1" applyFont="1" applyBorder="1" applyAlignment="1">
      <alignment horizontal="right"/>
    </xf>
    <xf numFmtId="4" fontId="0" fillId="0" borderId="0" xfId="0" applyNumberFormat="1"/>
    <xf numFmtId="167" fontId="0" fillId="0" borderId="0" xfId="2" applyNumberFormat="1" applyFont="1"/>
    <xf numFmtId="169" fontId="25" fillId="3" borderId="14" xfId="2" applyNumberFormat="1" applyFont="1" applyFill="1" applyBorder="1" applyAlignment="1">
      <alignment horizontal="right"/>
    </xf>
    <xf numFmtId="169" fontId="25" fillId="3" borderId="21" xfId="2" applyNumberFormat="1" applyFont="1" applyFill="1" applyBorder="1" applyAlignment="1">
      <alignment horizontal="right"/>
    </xf>
    <xf numFmtId="168" fontId="0" fillId="0" borderId="21" xfId="0" applyNumberFormat="1" applyBorder="1" applyAlignment="1">
      <alignment horizontal="right"/>
    </xf>
    <xf numFmtId="164" fontId="25" fillId="3" borderId="48" xfId="2" applyNumberFormat="1" applyFont="1" applyFill="1" applyBorder="1" applyAlignment="1">
      <alignment horizontal="right"/>
    </xf>
    <xf numFmtId="164" fontId="3" fillId="3" borderId="19" xfId="0" applyNumberFormat="1" applyFont="1" applyFill="1" applyBorder="1" applyAlignment="1">
      <alignment horizontal="right"/>
    </xf>
    <xf numFmtId="164" fontId="4" fillId="3" borderId="20" xfId="0" applyNumberFormat="1" applyFont="1" applyFill="1" applyBorder="1" applyAlignment="1">
      <alignment horizontal="right"/>
    </xf>
    <xf numFmtId="167" fontId="25" fillId="3" borderId="21" xfId="2" applyNumberFormat="1" applyFont="1" applyFill="1" applyBorder="1" applyAlignment="1">
      <alignment horizontal="right" vertical="center"/>
    </xf>
    <xf numFmtId="0" fontId="1" fillId="2" borderId="80" xfId="0" applyFont="1" applyFill="1" applyBorder="1" applyAlignment="1">
      <alignment horizontal="center" vertical="center"/>
    </xf>
    <xf numFmtId="164" fontId="17" fillId="0" borderId="0" xfId="10" applyNumberFormat="1"/>
    <xf numFmtId="166" fontId="0" fillId="0" borderId="0" xfId="3" applyNumberFormat="1" applyFont="1"/>
    <xf numFmtId="0" fontId="23" fillId="0" borderId="0" xfId="0" applyFont="1" applyAlignment="1">
      <alignment vertical="center"/>
    </xf>
    <xf numFmtId="164" fontId="3" fillId="3" borderId="7" xfId="2" applyNumberFormat="1" applyFont="1" applyFill="1" applyBorder="1" applyAlignment="1">
      <alignment horizontal="right" vertical="center"/>
    </xf>
    <xf numFmtId="164" fontId="0" fillId="0" borderId="19" xfId="0" applyNumberFormat="1" applyBorder="1" applyAlignment="1">
      <alignment horizontal="right" vertical="center"/>
    </xf>
    <xf numFmtId="164" fontId="0" fillId="0" borderId="23" xfId="0" applyNumberFormat="1" applyBorder="1" applyAlignment="1">
      <alignment horizontal="right" vertical="center"/>
    </xf>
    <xf numFmtId="167" fontId="3" fillId="3" borderId="20" xfId="2" applyNumberFormat="1" applyFont="1" applyFill="1" applyBorder="1" applyAlignment="1">
      <alignment horizontal="right" vertical="center"/>
    </xf>
    <xf numFmtId="167" fontId="4" fillId="3" borderId="20" xfId="2" applyNumberFormat="1" applyFont="1" applyFill="1" applyBorder="1" applyAlignment="1">
      <alignment horizontal="right" vertical="center"/>
    </xf>
    <xf numFmtId="167" fontId="44" fillId="6" borderId="21" xfId="2" applyNumberFormat="1" applyFont="1" applyFill="1" applyBorder="1" applyAlignment="1">
      <alignment horizontal="right" vertical="center"/>
    </xf>
    <xf numFmtId="167" fontId="25" fillId="3" borderId="21" xfId="2" applyNumberFormat="1" applyFont="1" applyFill="1" applyBorder="1" applyAlignment="1">
      <alignment horizontal="center" vertical="center"/>
    </xf>
    <xf numFmtId="3" fontId="3" fillId="5" borderId="23" xfId="4" applyNumberFormat="1" applyFont="1" applyFill="1" applyBorder="1" applyAlignment="1">
      <alignment horizontal="right" vertical="center" wrapText="1"/>
    </xf>
    <xf numFmtId="0" fontId="0" fillId="0" borderId="39" xfId="0" applyBorder="1" applyAlignment="1">
      <alignment horizontal="left" vertical="top" wrapText="1"/>
    </xf>
    <xf numFmtId="0" fontId="17" fillId="22" borderId="0" xfId="10" applyFill="1"/>
    <xf numFmtId="164" fontId="22" fillId="0" borderId="7" xfId="0" applyNumberFormat="1" applyFont="1" applyBorder="1" applyAlignment="1">
      <alignment horizontal="right"/>
    </xf>
    <xf numFmtId="164" fontId="22" fillId="0" borderId="1" xfId="0" applyNumberFormat="1" applyFont="1" applyBorder="1" applyAlignment="1">
      <alignment horizontal="right"/>
    </xf>
    <xf numFmtId="164" fontId="22" fillId="0" borderId="14" xfId="0" applyNumberFormat="1" applyFont="1" applyBorder="1" applyAlignment="1">
      <alignment horizontal="right"/>
    </xf>
    <xf numFmtId="164" fontId="23" fillId="0" borderId="2" xfId="0" applyNumberFormat="1" applyFont="1" applyBorder="1" applyAlignment="1">
      <alignment horizontal="right"/>
    </xf>
    <xf numFmtId="164" fontId="23" fillId="0" borderId="1" xfId="0" applyNumberFormat="1" applyFont="1" applyBorder="1" applyAlignment="1">
      <alignment horizontal="right"/>
    </xf>
    <xf numFmtId="0" fontId="15" fillId="17" borderId="36" xfId="0" applyFont="1" applyFill="1" applyBorder="1" applyAlignment="1">
      <alignment horizontal="center" vertical="center"/>
    </xf>
    <xf numFmtId="164" fontId="22" fillId="0" borderId="22" xfId="0" applyNumberFormat="1" applyFont="1" applyBorder="1" applyAlignment="1">
      <alignment horizontal="right" vertical="center"/>
    </xf>
    <xf numFmtId="164" fontId="22" fillId="0" borderId="20" xfId="0" applyNumberFormat="1" applyFont="1" applyBorder="1" applyAlignment="1">
      <alignment horizontal="right" vertical="center"/>
    </xf>
    <xf numFmtId="164" fontId="23" fillId="0" borderId="8" xfId="0" applyNumberFormat="1" applyFont="1" applyBorder="1" applyAlignment="1">
      <alignment horizontal="right"/>
    </xf>
    <xf numFmtId="0" fontId="15" fillId="17" borderId="15" xfId="0" applyFont="1" applyFill="1" applyBorder="1" applyAlignment="1">
      <alignment horizontal="center" vertical="center"/>
    </xf>
    <xf numFmtId="0" fontId="15" fillId="17" borderId="35" xfId="0" applyFont="1" applyFill="1" applyBorder="1" applyAlignment="1">
      <alignment horizontal="center" vertical="center"/>
    </xf>
    <xf numFmtId="0" fontId="15" fillId="17" borderId="16" xfId="0" applyFont="1" applyFill="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xf>
    <xf numFmtId="164" fontId="10" fillId="0" borderId="2" xfId="0" applyNumberFormat="1" applyFont="1" applyBorder="1" applyAlignment="1">
      <alignment horizontal="right" vertical="center"/>
    </xf>
    <xf numFmtId="0" fontId="22" fillId="3" borderId="2" xfId="0" applyFont="1" applyFill="1" applyBorder="1"/>
    <xf numFmtId="164" fontId="23" fillId="3" borderId="2" xfId="0" applyNumberFormat="1" applyFont="1" applyFill="1" applyBorder="1" applyAlignment="1">
      <alignment horizontal="right"/>
    </xf>
    <xf numFmtId="0" fontId="23" fillId="3" borderId="2" xfId="0" applyFont="1" applyFill="1" applyBorder="1" applyAlignment="1">
      <alignment horizontal="right"/>
    </xf>
    <xf numFmtId="0" fontId="15" fillId="0" borderId="7" xfId="0" applyFont="1" applyBorder="1" applyAlignment="1">
      <alignment horizontal="center" vertical="center"/>
    </xf>
    <xf numFmtId="0" fontId="15" fillId="0" borderId="7" xfId="0" applyFont="1" applyBorder="1" applyAlignment="1">
      <alignment horizontal="center"/>
    </xf>
    <xf numFmtId="164" fontId="10" fillId="0" borderId="7" xfId="0" applyNumberFormat="1" applyFont="1" applyBorder="1" applyAlignment="1">
      <alignment horizontal="righ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14" xfId="0" applyFont="1" applyBorder="1" applyAlignment="1">
      <alignment horizontal="center" vertical="center"/>
    </xf>
    <xf numFmtId="0" fontId="15" fillId="0" borderId="14" xfId="0" applyFont="1" applyBorder="1" applyAlignment="1">
      <alignment horizontal="center"/>
    </xf>
    <xf numFmtId="164" fontId="10" fillId="0" borderId="14" xfId="0" applyNumberFormat="1" applyFont="1" applyBorder="1" applyAlignment="1">
      <alignment horizontal="right" vertical="center"/>
    </xf>
    <xf numFmtId="0" fontId="15" fillId="0" borderId="21" xfId="0" applyFont="1" applyBorder="1" applyAlignment="1">
      <alignment horizontal="center" vertical="center"/>
    </xf>
    <xf numFmtId="0" fontId="22" fillId="3" borderId="7" xfId="0" applyFont="1" applyFill="1" applyBorder="1"/>
    <xf numFmtId="164" fontId="23" fillId="3" borderId="7" xfId="0" applyNumberFormat="1" applyFont="1" applyFill="1" applyBorder="1" applyAlignment="1">
      <alignment horizontal="right"/>
    </xf>
    <xf numFmtId="0" fontId="23" fillId="3" borderId="7" xfId="0" applyFont="1" applyFill="1" applyBorder="1" applyAlignment="1">
      <alignment horizontal="right"/>
    </xf>
    <xf numFmtId="164" fontId="22" fillId="0" borderId="7" xfId="0" applyNumberFormat="1" applyFont="1" applyBorder="1"/>
    <xf numFmtId="0" fontId="22" fillId="3" borderId="14" xfId="0" applyFont="1" applyFill="1" applyBorder="1"/>
    <xf numFmtId="164" fontId="23" fillId="3" borderId="14" xfId="0" applyNumberFormat="1" applyFont="1" applyFill="1" applyBorder="1" applyAlignment="1">
      <alignment horizontal="right"/>
    </xf>
    <xf numFmtId="0" fontId="23" fillId="3" borderId="14" xfId="0" applyFont="1" applyFill="1" applyBorder="1" applyAlignment="1">
      <alignment horizontal="right"/>
    </xf>
    <xf numFmtId="0" fontId="0" fillId="0" borderId="100" xfId="0" applyBorder="1" applyAlignment="1">
      <alignment vertical="center" wrapText="1"/>
    </xf>
    <xf numFmtId="0" fontId="2" fillId="0" borderId="100" xfId="1" applyBorder="1" applyAlignment="1">
      <alignment vertical="center" wrapText="1"/>
    </xf>
    <xf numFmtId="0" fontId="22" fillId="0" borderId="35" xfId="0" applyFont="1" applyBorder="1" applyAlignment="1">
      <alignment wrapText="1"/>
    </xf>
    <xf numFmtId="0" fontId="22" fillId="0" borderId="3" xfId="0" applyFont="1" applyBorder="1" applyAlignment="1">
      <alignment wrapText="1"/>
    </xf>
    <xf numFmtId="164" fontId="23" fillId="0" borderId="38" xfId="0" applyNumberFormat="1" applyFont="1" applyBorder="1" applyAlignment="1">
      <alignment horizontal="right"/>
    </xf>
    <xf numFmtId="0" fontId="22" fillId="0" borderId="9" xfId="0" applyFont="1" applyBorder="1" applyAlignment="1">
      <alignment wrapText="1"/>
    </xf>
    <xf numFmtId="164" fontId="23" fillId="0" borderId="14" xfId="0" applyNumberFormat="1" applyFont="1" applyBorder="1" applyAlignment="1">
      <alignment horizontal="right"/>
    </xf>
    <xf numFmtId="0" fontId="2" fillId="0" borderId="30" xfId="1" applyBorder="1" applyAlignment="1">
      <alignment horizontal="center" vertical="center" wrapText="1"/>
    </xf>
    <xf numFmtId="164" fontId="6" fillId="0" borderId="14" xfId="0" applyNumberFormat="1" applyFont="1" applyBorder="1" applyAlignment="1">
      <alignment horizontal="center" vertical="center" wrapText="1"/>
    </xf>
    <xf numFmtId="168" fontId="6" fillId="24" borderId="14" xfId="0" applyNumberFormat="1" applyFont="1" applyFill="1" applyBorder="1" applyAlignment="1">
      <alignment horizontal="center" vertical="center"/>
    </xf>
    <xf numFmtId="168" fontId="6" fillId="23" borderId="14" xfId="0" applyNumberFormat="1" applyFont="1" applyFill="1" applyBorder="1" applyAlignment="1">
      <alignment horizontal="center" vertical="center"/>
    </xf>
    <xf numFmtId="164" fontId="0" fillId="0" borderId="0" xfId="0" applyNumberFormat="1" applyAlignment="1">
      <alignment wrapText="1"/>
    </xf>
    <xf numFmtId="168" fontId="6" fillId="25" borderId="14" xfId="0" applyNumberFormat="1" applyFont="1" applyFill="1" applyBorder="1" applyAlignment="1">
      <alignment horizontal="center" vertical="center"/>
    </xf>
    <xf numFmtId="164" fontId="6" fillId="25" borderId="2" xfId="0" applyNumberFormat="1" applyFont="1" applyFill="1" applyBorder="1" applyAlignment="1">
      <alignment horizontal="center" vertical="center" wrapText="1"/>
    </xf>
    <xf numFmtId="164" fontId="6" fillId="24" borderId="7" xfId="0" applyNumberFormat="1" applyFont="1" applyFill="1" applyBorder="1" applyAlignment="1">
      <alignment horizontal="center" vertical="center" wrapText="1"/>
    </xf>
    <xf numFmtId="164" fontId="6" fillId="23" borderId="1" xfId="0" applyNumberFormat="1" applyFont="1" applyFill="1" applyBorder="1" applyAlignment="1">
      <alignment horizontal="center" vertical="center" wrapText="1"/>
    </xf>
    <xf numFmtId="164" fontId="6" fillId="23" borderId="14" xfId="0" applyNumberFormat="1" applyFont="1" applyFill="1" applyBorder="1" applyAlignment="1">
      <alignment horizontal="center" vertical="center" wrapText="1"/>
    </xf>
    <xf numFmtId="3" fontId="53" fillId="0" borderId="162" xfId="0" applyNumberFormat="1" applyFont="1" applyBorder="1" applyAlignment="1">
      <alignment horizontal="right"/>
    </xf>
    <xf numFmtId="164" fontId="6" fillId="0" borderId="47" xfId="0" applyNumberFormat="1" applyFont="1" applyBorder="1" applyAlignment="1">
      <alignment horizontal="center" wrapText="1"/>
    </xf>
    <xf numFmtId="164" fontId="0" fillId="0" borderId="0" xfId="0" applyNumberFormat="1" applyAlignment="1">
      <alignment horizontal="center" wrapText="1"/>
    </xf>
    <xf numFmtId="0" fontId="0" fillId="0" borderId="99" xfId="0" applyBorder="1" applyAlignment="1">
      <alignment horizontal="left" vertical="center" wrapText="1"/>
    </xf>
    <xf numFmtId="0" fontId="0" fillId="0" borderId="165" xfId="0" applyBorder="1" applyAlignment="1">
      <alignment vertical="top" wrapText="1"/>
    </xf>
    <xf numFmtId="0" fontId="0" fillId="0" borderId="2" xfId="0" applyBorder="1" applyAlignment="1">
      <alignment vertical="top" wrapText="1"/>
    </xf>
    <xf numFmtId="0" fontId="1" fillId="2" borderId="38" xfId="0" applyFont="1" applyFill="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horizontal="center"/>
    </xf>
    <xf numFmtId="0" fontId="2" fillId="0" borderId="0" xfId="1" applyBorder="1" applyAlignment="1">
      <alignment horizontal="center" vertical="center" wrapText="1"/>
    </xf>
    <xf numFmtId="0" fontId="28" fillId="17" borderId="35" xfId="0" applyFont="1" applyFill="1" applyBorder="1" applyAlignment="1">
      <alignment horizontal="center" vertical="center" wrapText="1"/>
    </xf>
    <xf numFmtId="0" fontId="52" fillId="0" borderId="162" xfId="0" applyFont="1" applyBorder="1" applyAlignment="1">
      <alignment horizontal="center" wrapText="1"/>
    </xf>
    <xf numFmtId="169" fontId="22" fillId="0" borderId="2" xfId="2" applyNumberFormat="1" applyFont="1" applyBorder="1"/>
    <xf numFmtId="169" fontId="23" fillId="0" borderId="2" xfId="2" applyNumberFormat="1" applyFont="1" applyBorder="1"/>
    <xf numFmtId="0" fontId="23" fillId="0" borderId="2" xfId="0" applyFont="1" applyBorder="1"/>
    <xf numFmtId="167" fontId="23" fillId="0" borderId="2" xfId="2" applyNumberFormat="1" applyFont="1" applyBorder="1"/>
    <xf numFmtId="0" fontId="15" fillId="17" borderId="26" xfId="0" applyFont="1" applyFill="1" applyBorder="1" applyAlignment="1">
      <alignment horizontal="center" vertical="center"/>
    </xf>
    <xf numFmtId="0" fontId="15" fillId="17" borderId="0" xfId="0" applyFont="1" applyFill="1" applyAlignment="1">
      <alignment horizontal="center" vertical="center"/>
    </xf>
    <xf numFmtId="0" fontId="15" fillId="17" borderId="47" xfId="0" applyFont="1" applyFill="1" applyBorder="1" applyAlignment="1">
      <alignment horizontal="center" vertical="center"/>
    </xf>
    <xf numFmtId="0" fontId="15" fillId="17" borderId="81" xfId="0" applyFont="1" applyFill="1" applyBorder="1" applyAlignment="1">
      <alignment horizontal="center" vertical="center"/>
    </xf>
    <xf numFmtId="0" fontId="15" fillId="17" borderId="48" xfId="0" applyFont="1" applyFill="1" applyBorder="1" applyAlignment="1">
      <alignment horizontal="center" vertical="center"/>
    </xf>
    <xf numFmtId="164" fontId="23" fillId="0" borderId="2" xfId="0" applyNumberFormat="1" applyFont="1" applyBorder="1"/>
    <xf numFmtId="0" fontId="6" fillId="0" borderId="38" xfId="0" applyFont="1" applyBorder="1" applyAlignment="1">
      <alignment wrapText="1"/>
    </xf>
    <xf numFmtId="168" fontId="0" fillId="0" borderId="38" xfId="0" applyNumberFormat="1" applyBorder="1" applyAlignment="1">
      <alignment horizontal="center" vertical="center" wrapText="1"/>
    </xf>
    <xf numFmtId="169" fontId="0" fillId="0" borderId="2" xfId="2" applyNumberFormat="1" applyFont="1" applyBorder="1" applyAlignment="1">
      <alignment horizontal="center" vertical="center" wrapText="1"/>
    </xf>
    <xf numFmtId="169" fontId="0" fillId="0" borderId="2" xfId="2" applyNumberFormat="1" applyFont="1" applyBorder="1" applyAlignment="1">
      <alignment wrapText="1"/>
    </xf>
    <xf numFmtId="169" fontId="0" fillId="0" borderId="2" xfId="2" applyNumberFormat="1" applyFont="1" applyBorder="1" applyAlignment="1">
      <alignment horizontal="center" wrapText="1"/>
    </xf>
    <xf numFmtId="169" fontId="0" fillId="0" borderId="5" xfId="2" applyNumberFormat="1" applyFont="1" applyBorder="1" applyAlignment="1">
      <alignment horizontal="center" vertical="center" wrapText="1"/>
    </xf>
    <xf numFmtId="169" fontId="0" fillId="0" borderId="1" xfId="2" applyNumberFormat="1" applyFont="1" applyBorder="1" applyAlignment="1">
      <alignment horizontal="center" vertical="center" wrapText="1"/>
    </xf>
    <xf numFmtId="169" fontId="6" fillId="0" borderId="7" xfId="2" applyNumberFormat="1" applyFont="1" applyBorder="1" applyAlignment="1">
      <alignment horizontal="center" vertical="center" wrapText="1"/>
    </xf>
    <xf numFmtId="169" fontId="6" fillId="0" borderId="56" xfId="2" applyNumberFormat="1" applyFont="1" applyBorder="1" applyAlignment="1">
      <alignment horizontal="center" vertical="center" wrapText="1"/>
    </xf>
    <xf numFmtId="169" fontId="0" fillId="0" borderId="1" xfId="2" applyNumberFormat="1" applyFont="1" applyBorder="1" applyAlignment="1">
      <alignment horizontal="center" vertical="center"/>
    </xf>
    <xf numFmtId="169" fontId="0" fillId="0" borderId="2" xfId="2" applyNumberFormat="1" applyFont="1" applyBorder="1" applyAlignment="1">
      <alignment horizontal="center" vertical="center"/>
    </xf>
    <xf numFmtId="169" fontId="0" fillId="0" borderId="6" xfId="2" applyNumberFormat="1" applyFont="1" applyBorder="1" applyAlignment="1">
      <alignment horizontal="center" vertical="center" wrapText="1"/>
    </xf>
    <xf numFmtId="169" fontId="0" fillId="0" borderId="71" xfId="2" applyNumberFormat="1" applyFont="1" applyBorder="1" applyAlignment="1">
      <alignment horizontal="center" vertical="center" wrapText="1"/>
    </xf>
    <xf numFmtId="169" fontId="0" fillId="0" borderId="5" xfId="2" applyNumberFormat="1" applyFont="1" applyBorder="1" applyAlignment="1">
      <alignment horizontal="center" vertical="center"/>
    </xf>
    <xf numFmtId="169" fontId="49" fillId="0" borderId="2" xfId="2" applyNumberFormat="1" applyFont="1" applyBorder="1" applyAlignment="1">
      <alignment horizontal="center" vertical="center"/>
    </xf>
    <xf numFmtId="169" fontId="0" fillId="0" borderId="14" xfId="2" applyNumberFormat="1" applyFont="1" applyBorder="1" applyAlignment="1">
      <alignment wrapText="1"/>
    </xf>
    <xf numFmtId="169" fontId="6" fillId="0" borderId="14" xfId="2" applyNumberFormat="1" applyFont="1" applyBorder="1" applyAlignment="1">
      <alignment horizontal="center" vertical="center" wrapText="1"/>
    </xf>
    <xf numFmtId="169" fontId="0" fillId="0" borderId="14" xfId="2" applyNumberFormat="1" applyFont="1" applyBorder="1" applyAlignment="1">
      <alignment horizontal="center" vertical="center" wrapText="1"/>
    </xf>
    <xf numFmtId="169" fontId="0" fillId="0" borderId="47" xfId="2" applyNumberFormat="1" applyFont="1" applyBorder="1" applyAlignment="1">
      <alignment horizontal="center" vertical="center"/>
    </xf>
    <xf numFmtId="169" fontId="0" fillId="0" borderId="7" xfId="2" applyNumberFormat="1" applyFont="1" applyBorder="1" applyAlignment="1">
      <alignment wrapText="1"/>
    </xf>
    <xf numFmtId="168" fontId="6" fillId="25" borderId="14" xfId="0" applyNumberFormat="1" applyFont="1" applyFill="1" applyBorder="1" applyAlignment="1">
      <alignment horizontal="right"/>
    </xf>
    <xf numFmtId="168" fontId="6" fillId="24" borderId="14" xfId="0" applyNumberFormat="1" applyFont="1" applyFill="1" applyBorder="1" applyAlignment="1">
      <alignment horizontal="right"/>
    </xf>
    <xf numFmtId="168" fontId="6" fillId="24" borderId="47" xfId="0" applyNumberFormat="1" applyFont="1" applyFill="1" applyBorder="1" applyAlignment="1">
      <alignment horizontal="right"/>
    </xf>
    <xf numFmtId="164" fontId="6" fillId="24" borderId="14" xfId="0" applyNumberFormat="1" applyFont="1" applyFill="1" applyBorder="1" applyAlignment="1">
      <alignment horizontal="right"/>
    </xf>
    <xf numFmtId="168" fontId="6" fillId="25" borderId="17" xfId="0" applyNumberFormat="1" applyFont="1" applyFill="1" applyBorder="1" applyAlignment="1">
      <alignment horizontal="right"/>
    </xf>
    <xf numFmtId="168" fontId="6" fillId="23" borderId="14" xfId="0" applyNumberFormat="1" applyFont="1" applyFill="1" applyBorder="1" applyAlignment="1">
      <alignment horizontal="right"/>
    </xf>
    <xf numFmtId="168" fontId="6" fillId="23" borderId="1" xfId="0" applyNumberFormat="1" applyFont="1" applyFill="1" applyBorder="1" applyAlignment="1">
      <alignment horizontal="right"/>
    </xf>
    <xf numFmtId="0" fontId="2" fillId="0" borderId="91" xfId="1" applyFill="1" applyBorder="1" applyAlignment="1">
      <alignment horizontal="center" vertical="center"/>
    </xf>
    <xf numFmtId="3" fontId="17" fillId="0" borderId="0" xfId="10" applyNumberFormat="1"/>
    <xf numFmtId="167" fontId="0" fillId="0" borderId="0" xfId="2" applyNumberFormat="1" applyFont="1" applyFill="1"/>
    <xf numFmtId="164" fontId="6" fillId="0" borderId="2" xfId="0" applyNumberFormat="1" applyFont="1" applyBorder="1" applyAlignment="1">
      <alignment horizontal="right"/>
    </xf>
    <xf numFmtId="164" fontId="6" fillId="24" borderId="7" xfId="3" applyNumberFormat="1" applyFont="1" applyFill="1" applyBorder="1" applyAlignment="1">
      <alignment horizontal="right"/>
    </xf>
    <xf numFmtId="164" fontId="6" fillId="24" borderId="35" xfId="3" applyNumberFormat="1" applyFont="1" applyFill="1" applyBorder="1" applyAlignment="1">
      <alignment horizontal="right"/>
    </xf>
    <xf numFmtId="164" fontId="6" fillId="25" borderId="2" xfId="3" applyNumberFormat="1" applyFont="1" applyFill="1" applyBorder="1" applyAlignment="1">
      <alignment horizontal="right"/>
    </xf>
    <xf numFmtId="164" fontId="6" fillId="23" borderId="1" xfId="3" applyNumberFormat="1" applyFont="1" applyFill="1" applyBorder="1" applyAlignment="1">
      <alignment horizontal="right"/>
    </xf>
    <xf numFmtId="0" fontId="22" fillId="0" borderId="10" xfId="0" applyFont="1" applyBorder="1" applyAlignment="1">
      <alignment wrapText="1"/>
    </xf>
    <xf numFmtId="164" fontId="22" fillId="0" borderId="14" xfId="0" applyNumberFormat="1" applyFont="1" applyBorder="1"/>
    <xf numFmtId="167" fontId="4" fillId="0" borderId="2" xfId="2" applyNumberFormat="1" applyFont="1" applyBorder="1" applyAlignment="1">
      <alignment horizontal="left" vertical="top" indent="2"/>
    </xf>
    <xf numFmtId="167" fontId="4" fillId="0" borderId="2" xfId="2" applyNumberFormat="1" applyFont="1" applyBorder="1" applyAlignment="1">
      <alignment horizontal="center" vertical="top"/>
    </xf>
    <xf numFmtId="167" fontId="4" fillId="0" borderId="2" xfId="2" applyNumberFormat="1" applyFont="1" applyBorder="1"/>
    <xf numFmtId="0" fontId="6" fillId="0" borderId="2" xfId="0" applyFont="1" applyBorder="1" applyAlignment="1">
      <alignment horizontal="left" vertical="center" wrapText="1"/>
    </xf>
    <xf numFmtId="0" fontId="0" fillId="0" borderId="2" xfId="0" applyBorder="1" applyAlignment="1">
      <alignment horizontal="left" vertical="center"/>
    </xf>
    <xf numFmtId="0" fontId="4" fillId="0" borderId="2" xfId="1" applyFont="1" applyBorder="1" applyAlignment="1">
      <alignment horizontal="left" vertical="center"/>
    </xf>
    <xf numFmtId="167" fontId="4" fillId="0" borderId="2" xfId="2" applyNumberFormat="1" applyFont="1" applyBorder="1" applyAlignment="1">
      <alignment horizontal="left" vertical="center"/>
    </xf>
    <xf numFmtId="0" fontId="23" fillId="18" borderId="80" xfId="0" applyFont="1" applyFill="1" applyBorder="1" applyAlignment="1">
      <alignment wrapText="1"/>
    </xf>
    <xf numFmtId="0" fontId="23" fillId="18" borderId="35" xfId="0" applyFont="1" applyFill="1" applyBorder="1" applyAlignment="1">
      <alignment wrapText="1"/>
    </xf>
    <xf numFmtId="0" fontId="23" fillId="18" borderId="3" xfId="0" applyFont="1" applyFill="1" applyBorder="1" applyAlignment="1">
      <alignment wrapText="1"/>
    </xf>
    <xf numFmtId="0" fontId="23" fillId="18" borderId="9" xfId="0" applyFont="1" applyFill="1" applyBorder="1" applyAlignment="1">
      <alignment wrapText="1"/>
    </xf>
    <xf numFmtId="0" fontId="0" fillId="0" borderId="66" xfId="0" applyBorder="1" applyAlignment="1">
      <alignment horizontal="center"/>
    </xf>
    <xf numFmtId="0" fontId="0" fillId="0" borderId="68" xfId="0" applyBorder="1" applyAlignment="1">
      <alignment horizontal="center"/>
    </xf>
    <xf numFmtId="0" fontId="0" fillId="0" borderId="2" xfId="0" applyBorder="1" applyAlignment="1">
      <alignment horizontal="center"/>
    </xf>
    <xf numFmtId="0" fontId="6" fillId="18" borderId="12" xfId="0" applyFont="1" applyFill="1" applyBorder="1" applyAlignment="1">
      <alignment horizontal="center"/>
    </xf>
    <xf numFmtId="0" fontId="6" fillId="18" borderId="11" xfId="0" applyFont="1" applyFill="1" applyBorder="1" applyAlignment="1">
      <alignment horizontal="center"/>
    </xf>
    <xf numFmtId="0" fontId="6" fillId="18" borderId="31" xfId="0" applyFont="1" applyFill="1" applyBorder="1" applyAlignment="1">
      <alignment horizontal="center"/>
    </xf>
    <xf numFmtId="0" fontId="1" fillId="2" borderId="38" xfId="0" applyFont="1" applyFill="1" applyBorder="1" applyAlignment="1">
      <alignment horizontal="center"/>
    </xf>
    <xf numFmtId="0" fontId="1" fillId="2" borderId="28" xfId="0" applyFont="1" applyFill="1" applyBorder="1" applyAlignment="1">
      <alignment horizontal="center" vertical="center"/>
    </xf>
    <xf numFmtId="0" fontId="16" fillId="0" borderId="2" xfId="0" applyFont="1" applyBorder="1" applyAlignment="1">
      <alignment horizontal="center"/>
    </xf>
    <xf numFmtId="0" fontId="16" fillId="0" borderId="2" xfId="0" applyFont="1" applyBorder="1" applyAlignment="1">
      <alignment horizontal="right" wrapText="1"/>
    </xf>
    <xf numFmtId="3" fontId="6" fillId="0" borderId="2" xfId="0" applyNumberFormat="1" applyFont="1" applyBorder="1" applyAlignment="1">
      <alignment horizontal="right"/>
    </xf>
    <xf numFmtId="0" fontId="6" fillId="18" borderId="2" xfId="0" applyFont="1" applyFill="1" applyBorder="1" applyAlignment="1">
      <alignment horizontal="center"/>
    </xf>
    <xf numFmtId="164" fontId="6" fillId="23" borderId="2" xfId="0" applyNumberFormat="1" applyFont="1" applyFill="1" applyBorder="1" applyAlignment="1">
      <alignment horizontal="right"/>
    </xf>
    <xf numFmtId="164" fontId="6" fillId="18" borderId="14" xfId="0" applyNumberFormat="1" applyFont="1" applyFill="1" applyBorder="1" applyAlignment="1">
      <alignment horizontal="center" vertical="center" wrapText="1"/>
    </xf>
    <xf numFmtId="0" fontId="6" fillId="0" borderId="5" xfId="0" applyFont="1" applyBorder="1" applyAlignment="1">
      <alignment wrapText="1"/>
    </xf>
    <xf numFmtId="0" fontId="0" fillId="0" borderId="5" xfId="0" applyBorder="1" applyAlignment="1">
      <alignment wrapText="1"/>
    </xf>
    <xf numFmtId="169" fontId="6" fillId="0" borderId="2" xfId="2" applyNumberFormat="1" applyFont="1" applyBorder="1" applyAlignment="1">
      <alignment horizontal="center" wrapText="1"/>
    </xf>
    <xf numFmtId="169" fontId="6" fillId="0" borderId="2" xfId="2" applyNumberFormat="1" applyFont="1" applyBorder="1" applyAlignment="1">
      <alignment horizontal="center" vertical="center" wrapText="1"/>
    </xf>
    <xf numFmtId="169" fontId="0" fillId="21" borderId="2" xfId="2" applyNumberFormat="1" applyFont="1" applyFill="1" applyBorder="1" applyAlignment="1">
      <alignment horizontal="center" vertical="center" wrapText="1"/>
    </xf>
    <xf numFmtId="169" fontId="0" fillId="0" borderId="7" xfId="2" applyNumberFormat="1" applyFont="1" applyBorder="1" applyAlignment="1">
      <alignment horizontal="center" wrapText="1"/>
    </xf>
    <xf numFmtId="169" fontId="0" fillId="0" borderId="19" xfId="2" applyNumberFormat="1" applyFont="1" applyBorder="1" applyAlignment="1">
      <alignment horizontal="center" wrapText="1"/>
    </xf>
    <xf numFmtId="169" fontId="0" fillId="0" borderId="20" xfId="2" applyNumberFormat="1" applyFont="1" applyBorder="1" applyAlignment="1">
      <alignment horizontal="center" wrapText="1"/>
    </xf>
    <xf numFmtId="3" fontId="48" fillId="0" borderId="2" xfId="0" applyNumberFormat="1" applyFont="1" applyBorder="1" applyAlignment="1">
      <alignment horizontal="center" wrapText="1"/>
    </xf>
    <xf numFmtId="3" fontId="47" fillId="20" borderId="2" xfId="0" applyNumberFormat="1" applyFont="1" applyFill="1" applyBorder="1" applyAlignment="1">
      <alignment horizontal="center" wrapText="1"/>
    </xf>
    <xf numFmtId="168" fontId="0" fillId="0" borderId="14" xfId="0" applyNumberFormat="1" applyBorder="1" applyAlignment="1">
      <alignment horizontal="center" wrapText="1"/>
    </xf>
    <xf numFmtId="0" fontId="15" fillId="17" borderId="38" xfId="0" applyFont="1" applyFill="1" applyBorder="1" applyAlignment="1">
      <alignment horizontal="center" vertical="center" wrapText="1"/>
    </xf>
    <xf numFmtId="0" fontId="15" fillId="17" borderId="35" xfId="0" applyFont="1" applyFill="1" applyBorder="1" applyAlignment="1">
      <alignment horizontal="center" vertical="center" wrapText="1"/>
    </xf>
    <xf numFmtId="164" fontId="0" fillId="0" borderId="14" xfId="0" applyNumberFormat="1" applyBorder="1" applyAlignment="1">
      <alignment wrapText="1"/>
    </xf>
    <xf numFmtId="168" fontId="6" fillId="0" borderId="21" xfId="0" applyNumberFormat="1" applyFont="1" applyBorder="1" applyAlignment="1">
      <alignment horizontal="center" vertical="center" wrapText="1"/>
    </xf>
    <xf numFmtId="0" fontId="15" fillId="0" borderId="0" xfId="0" applyFont="1" applyAlignment="1">
      <alignment horizontal="center" vertical="center" wrapText="1"/>
    </xf>
    <xf numFmtId="169" fontId="6" fillId="0" borderId="2" xfId="2" applyNumberFormat="1" applyFont="1" applyBorder="1" applyAlignment="1">
      <alignment horizontal="right" wrapText="1"/>
    </xf>
    <xf numFmtId="168" fontId="0" fillId="24" borderId="7" xfId="0" applyNumberFormat="1" applyFill="1" applyBorder="1" applyAlignment="1">
      <alignment horizontal="center" wrapText="1"/>
    </xf>
    <xf numFmtId="168" fontId="0" fillId="25" borderId="2" xfId="0" applyNumberFormat="1" applyFill="1" applyBorder="1" applyAlignment="1">
      <alignment horizontal="center" wrapText="1"/>
    </xf>
    <xf numFmtId="168" fontId="6" fillId="23" borderId="1" xfId="0" applyNumberFormat="1" applyFont="1" applyFill="1" applyBorder="1" applyAlignment="1">
      <alignment horizontal="center" wrapText="1"/>
    </xf>
    <xf numFmtId="3" fontId="6" fillId="0" borderId="1" xfId="0" applyNumberFormat="1" applyFont="1" applyBorder="1" applyAlignment="1">
      <alignment horizontal="center" wrapText="1"/>
    </xf>
    <xf numFmtId="169" fontId="6" fillId="0" borderId="20" xfId="2" applyNumberFormat="1" applyFont="1" applyBorder="1" applyAlignment="1">
      <alignment horizontal="right" wrapText="1"/>
    </xf>
    <xf numFmtId="169" fontId="0" fillId="0" borderId="19" xfId="2" applyNumberFormat="1" applyFont="1" applyBorder="1" applyAlignment="1">
      <alignment wrapText="1"/>
    </xf>
    <xf numFmtId="169" fontId="0" fillId="0" borderId="20" xfId="2" applyNumberFormat="1" applyFont="1" applyBorder="1" applyAlignment="1">
      <alignment wrapText="1"/>
    </xf>
    <xf numFmtId="3" fontId="0" fillId="0" borderId="2" xfId="0" applyNumberFormat="1" applyBorder="1"/>
    <xf numFmtId="0" fontId="6" fillId="0" borderId="14" xfId="0" applyFont="1" applyBorder="1"/>
    <xf numFmtId="0" fontId="0" fillId="0" borderId="2" xfId="0" applyBorder="1" applyAlignment="1">
      <alignment horizontal="left" vertical="center" wrapText="1"/>
    </xf>
    <xf numFmtId="0" fontId="2" fillId="0" borderId="2" xfId="1" applyBorder="1"/>
    <xf numFmtId="169" fontId="0" fillId="0" borderId="52" xfId="2" applyNumberFormat="1" applyFont="1" applyBorder="1" applyAlignment="1">
      <alignment horizontal="center" vertical="center" wrapText="1"/>
    </xf>
    <xf numFmtId="169" fontId="0" fillId="0" borderId="4" xfId="2" applyNumberFormat="1" applyFont="1" applyBorder="1" applyAlignment="1">
      <alignment horizontal="center" vertical="center" wrapText="1"/>
    </xf>
    <xf numFmtId="169" fontId="0" fillId="0" borderId="72" xfId="2" applyNumberFormat="1" applyFont="1" applyBorder="1" applyAlignment="1">
      <alignment horizontal="center" vertical="center" wrapText="1"/>
    </xf>
    <xf numFmtId="169" fontId="0" fillId="0" borderId="22" xfId="2" applyNumberFormat="1" applyFont="1" applyBorder="1" applyAlignment="1">
      <alignment horizontal="center" wrapText="1"/>
    </xf>
    <xf numFmtId="169" fontId="0" fillId="0" borderId="3" xfId="2" applyNumberFormat="1" applyFont="1" applyBorder="1" applyAlignment="1">
      <alignment horizontal="center" vertical="center" wrapText="1"/>
    </xf>
    <xf numFmtId="169" fontId="0" fillId="0" borderId="8" xfId="2" applyNumberFormat="1" applyFont="1" applyBorder="1" applyAlignment="1">
      <alignment horizontal="center" vertical="center" wrapText="1"/>
    </xf>
    <xf numFmtId="169" fontId="0" fillId="0" borderId="23" xfId="2" applyNumberFormat="1" applyFont="1" applyBorder="1" applyAlignment="1">
      <alignment horizontal="center" wrapText="1"/>
    </xf>
    <xf numFmtId="2" fontId="6" fillId="0" borderId="8" xfId="0" applyNumberFormat="1" applyFont="1" applyBorder="1" applyAlignment="1">
      <alignment horizontal="center" vertical="center" wrapText="1"/>
    </xf>
    <xf numFmtId="164" fontId="6" fillId="24" borderId="8" xfId="0" applyNumberFormat="1" applyFont="1" applyFill="1" applyBorder="1" applyAlignment="1">
      <alignment horizontal="center" vertical="center" wrapText="1"/>
    </xf>
    <xf numFmtId="164" fontId="6" fillId="0" borderId="8" xfId="0" applyNumberFormat="1" applyFont="1" applyBorder="1" applyAlignment="1">
      <alignment horizontal="center" vertical="center" wrapText="1"/>
    </xf>
    <xf numFmtId="0" fontId="2" fillId="0" borderId="0" xfId="1"/>
    <xf numFmtId="169" fontId="0" fillId="0" borderId="4" xfId="2" applyNumberFormat="1" applyFont="1" applyFill="1" applyBorder="1" applyAlignment="1">
      <alignment horizontal="center" vertical="center" wrapText="1"/>
    </xf>
    <xf numFmtId="169" fontId="0" fillId="0" borderId="2" xfId="2" applyNumberFormat="1" applyFont="1" applyFill="1" applyBorder="1" applyAlignment="1">
      <alignment horizontal="center" vertical="center" wrapText="1"/>
    </xf>
    <xf numFmtId="169" fontId="0" fillId="0" borderId="1" xfId="2" applyNumberFormat="1" applyFont="1" applyFill="1" applyBorder="1" applyAlignment="1">
      <alignment horizontal="center" vertical="center" wrapText="1"/>
    </xf>
    <xf numFmtId="169" fontId="0" fillId="0" borderId="19" xfId="2" applyNumberFormat="1" applyFont="1" applyBorder="1" applyAlignment="1">
      <alignment horizontal="center" vertical="center" wrapText="1"/>
    </xf>
    <xf numFmtId="169" fontId="0" fillId="0" borderId="20" xfId="2" applyNumberFormat="1" applyFont="1" applyBorder="1" applyAlignment="1">
      <alignment horizontal="center" vertical="center" wrapText="1"/>
    </xf>
    <xf numFmtId="0" fontId="42" fillId="18" borderId="21" xfId="0" applyFont="1" applyFill="1" applyBorder="1" applyAlignment="1">
      <alignment wrapText="1"/>
    </xf>
    <xf numFmtId="164" fontId="0" fillId="0" borderId="6" xfId="0" applyNumberFormat="1" applyBorder="1" applyAlignment="1">
      <alignment wrapText="1"/>
    </xf>
    <xf numFmtId="164" fontId="0" fillId="0" borderId="5" xfId="0" applyNumberFormat="1" applyBorder="1" applyAlignment="1">
      <alignment horizontal="center" wrapText="1"/>
    </xf>
    <xf numFmtId="0" fontId="1" fillId="2" borderId="35" xfId="0" applyFont="1" applyFill="1" applyBorder="1" applyAlignment="1">
      <alignment horizontal="center" wrapText="1"/>
    </xf>
    <xf numFmtId="0" fontId="1" fillId="2" borderId="36" xfId="0" applyFont="1" applyFill="1" applyBorder="1" applyAlignment="1">
      <alignment horizontal="center" wrapText="1"/>
    </xf>
    <xf numFmtId="164" fontId="0" fillId="23" borderId="2" xfId="0" applyNumberFormat="1" applyFill="1" applyBorder="1" applyAlignment="1">
      <alignment horizontal="center" wrapText="1"/>
    </xf>
    <xf numFmtId="0" fontId="0" fillId="0" borderId="53" xfId="0" applyBorder="1" applyAlignment="1">
      <alignment wrapText="1"/>
    </xf>
    <xf numFmtId="169" fontId="0" fillId="0" borderId="22" xfId="2" applyNumberFormat="1" applyFont="1" applyBorder="1" applyAlignment="1">
      <alignment horizontal="center" vertical="center" wrapText="1"/>
    </xf>
    <xf numFmtId="169" fontId="0" fillId="0" borderId="23" xfId="2" applyNumberFormat="1" applyFont="1" applyBorder="1" applyAlignment="1">
      <alignment horizontal="center" vertical="center" wrapText="1"/>
    </xf>
    <xf numFmtId="169" fontId="0" fillId="0" borderId="0" xfId="0" applyNumberFormat="1" applyAlignment="1">
      <alignment wrapText="1"/>
    </xf>
    <xf numFmtId="0" fontId="0" fillId="3" borderId="2" xfId="0" applyFill="1" applyBorder="1" applyAlignment="1">
      <alignment vertical="top" wrapText="1"/>
    </xf>
    <xf numFmtId="0" fontId="0" fillId="0" borderId="174" xfId="0" applyBorder="1"/>
    <xf numFmtId="3" fontId="0" fillId="0" borderId="2" xfId="0" applyNumberFormat="1" applyBorder="1" applyAlignment="1">
      <alignment horizontal="center"/>
    </xf>
    <xf numFmtId="0" fontId="15" fillId="17" borderId="0" xfId="0" applyFont="1" applyFill="1"/>
    <xf numFmtId="0" fontId="15" fillId="17" borderId="73" xfId="0" applyFont="1" applyFill="1" applyBorder="1"/>
    <xf numFmtId="0" fontId="15" fillId="17" borderId="5" xfId="0" applyFont="1" applyFill="1" applyBorder="1" applyAlignment="1">
      <alignment horizontal="center" vertical="center"/>
    </xf>
    <xf numFmtId="0" fontId="15" fillId="17" borderId="90" xfId="0" applyFont="1" applyFill="1" applyBorder="1" applyAlignment="1">
      <alignment horizontal="center" vertical="center"/>
    </xf>
    <xf numFmtId="0" fontId="15" fillId="17" borderId="87" xfId="0" applyFont="1" applyFill="1" applyBorder="1" applyAlignment="1">
      <alignment horizontal="center" vertical="center"/>
    </xf>
    <xf numFmtId="3" fontId="0" fillId="0" borderId="19" xfId="0" applyNumberFormat="1" applyBorder="1" applyAlignment="1">
      <alignment horizontal="center"/>
    </xf>
    <xf numFmtId="169" fontId="6" fillId="0" borderId="2" xfId="2" applyNumberFormat="1" applyFont="1" applyBorder="1"/>
    <xf numFmtId="169" fontId="0" fillId="0" borderId="2" xfId="2" applyNumberFormat="1" applyFont="1" applyBorder="1" applyAlignment="1">
      <alignment horizontal="center"/>
    </xf>
    <xf numFmtId="0" fontId="6" fillId="0" borderId="2" xfId="0" applyFont="1" applyBorder="1" applyAlignment="1">
      <alignment horizontal="center"/>
    </xf>
    <xf numFmtId="169" fontId="0" fillId="0" borderId="0" xfId="2" applyNumberFormat="1" applyFont="1" applyFill="1"/>
    <xf numFmtId="0" fontId="0" fillId="0" borderId="0" xfId="0" applyAlignment="1">
      <alignment horizontal="left" indent="1"/>
    </xf>
    <xf numFmtId="169" fontId="6" fillId="0" borderId="0" xfId="2" applyNumberFormat="1" applyFont="1" applyFill="1"/>
    <xf numFmtId="169" fontId="0" fillId="0" borderId="2" xfId="2" applyNumberFormat="1" applyFont="1" applyBorder="1"/>
    <xf numFmtId="164" fontId="6" fillId="0" borderId="2" xfId="0" applyNumberFormat="1" applyFont="1" applyBorder="1" applyAlignment="1">
      <alignment horizontal="center" vertical="center"/>
    </xf>
    <xf numFmtId="169" fontId="0" fillId="0" borderId="0" xfId="2" applyNumberFormat="1" applyFont="1" applyFill="1" applyBorder="1" applyAlignment="1">
      <alignment horizontal="center" vertical="center"/>
    </xf>
    <xf numFmtId="164" fontId="6" fillId="0" borderId="0" xfId="0" applyNumberFormat="1" applyFont="1" applyAlignment="1">
      <alignment horizontal="center" vertical="center"/>
    </xf>
    <xf numFmtId="0" fontId="54" fillId="0" borderId="103" xfId="1" applyFont="1" applyFill="1" applyBorder="1"/>
    <xf numFmtId="0" fontId="1" fillId="17" borderId="38" xfId="0" applyFont="1" applyFill="1" applyBorder="1" applyAlignment="1">
      <alignment horizontal="center" vertical="center"/>
    </xf>
    <xf numFmtId="0" fontId="1" fillId="17" borderId="29" xfId="0" applyFont="1" applyFill="1" applyBorder="1" applyAlignment="1">
      <alignment horizontal="center" vertical="center"/>
    </xf>
    <xf numFmtId="0" fontId="1" fillId="17" borderId="28" xfId="0" applyFont="1" applyFill="1" applyBorder="1" applyAlignment="1">
      <alignment horizontal="center" vertical="center"/>
    </xf>
    <xf numFmtId="164" fontId="6" fillId="0" borderId="2" xfId="0" applyNumberFormat="1" applyFont="1" applyBorder="1"/>
    <xf numFmtId="3" fontId="17" fillId="0" borderId="2" xfId="10" applyNumberFormat="1" applyBorder="1"/>
    <xf numFmtId="0" fontId="18" fillId="0" borderId="0" xfId="10" applyFont="1"/>
    <xf numFmtId="3" fontId="6" fillId="0" borderId="175" xfId="0" applyNumberFormat="1" applyFont="1" applyBorder="1" applyAlignment="1">
      <alignment horizontal="center" vertical="center" wrapText="1"/>
    </xf>
    <xf numFmtId="0" fontId="15" fillId="17" borderId="2" xfId="0" applyFont="1" applyFill="1" applyBorder="1" applyAlignment="1">
      <alignment horizontal="center"/>
    </xf>
    <xf numFmtId="0" fontId="15" fillId="17" borderId="2" xfId="0" applyFont="1" applyFill="1" applyBorder="1"/>
    <xf numFmtId="0" fontId="0" fillId="14" borderId="42" xfId="0" applyFill="1" applyBorder="1" applyAlignment="1">
      <alignment horizontal="left" vertical="center" wrapText="1"/>
    </xf>
    <xf numFmtId="0" fontId="54" fillId="0" borderId="39" xfId="1" applyFont="1" applyBorder="1" applyAlignment="1">
      <alignment vertical="top"/>
    </xf>
    <xf numFmtId="0" fontId="54" fillId="0" borderId="98" xfId="1" applyFont="1" applyBorder="1" applyAlignment="1">
      <alignment vertical="top" wrapText="1"/>
    </xf>
    <xf numFmtId="168" fontId="0" fillId="0" borderId="2" xfId="0" applyNumberFormat="1" applyBorder="1" applyAlignment="1">
      <alignment horizontal="center" vertical="center"/>
    </xf>
    <xf numFmtId="0" fontId="55" fillId="0" borderId="2" xfId="0" applyFont="1" applyBorder="1" applyAlignment="1">
      <alignment horizontal="left" vertical="center"/>
    </xf>
    <xf numFmtId="0" fontId="55" fillId="0" borderId="2" xfId="0" applyFont="1" applyBorder="1"/>
    <xf numFmtId="0" fontId="55" fillId="0" borderId="2" xfId="0" applyFont="1" applyBorder="1" applyAlignment="1">
      <alignment wrapText="1"/>
    </xf>
    <xf numFmtId="164" fontId="0" fillId="23" borderId="2" xfId="0" applyNumberFormat="1" applyFill="1" applyBorder="1" applyAlignment="1">
      <alignment horizontal="center" vertical="center"/>
    </xf>
    <xf numFmtId="168" fontId="0" fillId="0" borderId="1" xfId="0" applyNumberFormat="1" applyBorder="1"/>
    <xf numFmtId="168" fontId="0" fillId="0" borderId="1" xfId="0" applyNumberFormat="1" applyBorder="1" applyAlignment="1">
      <alignment horizontal="center"/>
    </xf>
    <xf numFmtId="0" fontId="15" fillId="17" borderId="2" xfId="0" applyFont="1" applyFill="1" applyBorder="1" applyAlignment="1">
      <alignment horizontal="center" vertical="center"/>
    </xf>
    <xf numFmtId="168" fontId="55" fillId="0" borderId="2" xfId="0" applyNumberFormat="1" applyFont="1" applyBorder="1" applyAlignment="1">
      <alignment horizontal="center" vertical="center"/>
    </xf>
    <xf numFmtId="168" fontId="55" fillId="0" borderId="2" xfId="0" applyNumberFormat="1" applyFont="1" applyBorder="1"/>
    <xf numFmtId="0" fontId="4" fillId="3" borderId="39" xfId="0" applyFont="1" applyFill="1" applyBorder="1" applyAlignment="1">
      <alignment vertical="center" wrapText="1"/>
    </xf>
    <xf numFmtId="0" fontId="45" fillId="0" borderId="162" xfId="0" applyFont="1" applyBorder="1" applyAlignment="1">
      <alignment vertical="top"/>
    </xf>
    <xf numFmtId="0" fontId="45" fillId="0" borderId="162" xfId="0" applyFont="1" applyBorder="1" applyAlignment="1">
      <alignment horizontal="left" vertical="top"/>
    </xf>
    <xf numFmtId="0" fontId="45" fillId="0" borderId="163" xfId="0" applyFont="1" applyBorder="1" applyAlignment="1">
      <alignment horizontal="left" vertical="top"/>
    </xf>
    <xf numFmtId="0" fontId="45" fillId="0" borderId="0" xfId="0" applyFont="1" applyAlignment="1">
      <alignment horizontal="left" vertical="top"/>
    </xf>
    <xf numFmtId="0" fontId="15" fillId="8" borderId="42" xfId="0" applyFont="1" applyFill="1" applyBorder="1" applyAlignment="1">
      <alignment horizontal="center" vertical="center" wrapText="1"/>
    </xf>
    <xf numFmtId="3" fontId="3" fillId="0" borderId="10" xfId="1" applyNumberFormat="1" applyFont="1" applyFill="1" applyBorder="1" applyAlignment="1">
      <alignment horizontal="right" vertical="center"/>
    </xf>
    <xf numFmtId="3" fontId="3" fillId="0" borderId="7" xfId="1" applyNumberFormat="1" applyFont="1" applyFill="1" applyBorder="1" applyAlignment="1">
      <alignment horizontal="right" vertical="center"/>
    </xf>
    <xf numFmtId="3" fontId="3" fillId="0" borderId="7" xfId="1" applyNumberFormat="1" applyFont="1" applyBorder="1" applyAlignment="1">
      <alignment horizontal="right" vertical="center"/>
    </xf>
    <xf numFmtId="3" fontId="4" fillId="0" borderId="3"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2" xfId="1" applyNumberFormat="1" applyFont="1" applyBorder="1" applyAlignment="1">
      <alignment horizontal="right" vertical="center"/>
    </xf>
    <xf numFmtId="3" fontId="4" fillId="0" borderId="52" xfId="1" applyNumberFormat="1" applyFont="1" applyFill="1" applyBorder="1" applyAlignment="1">
      <alignment horizontal="right" vertical="center"/>
    </xf>
    <xf numFmtId="3" fontId="4" fillId="0" borderId="4" xfId="1" applyNumberFormat="1" applyFont="1" applyFill="1" applyBorder="1" applyAlignment="1">
      <alignment horizontal="right" vertical="center"/>
    </xf>
    <xf numFmtId="3" fontId="4" fillId="0" borderId="4" xfId="1" applyNumberFormat="1" applyFont="1" applyBorder="1" applyAlignment="1">
      <alignment horizontal="right" vertical="center"/>
    </xf>
    <xf numFmtId="3" fontId="3" fillId="0" borderId="8" xfId="1"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3" fillId="0" borderId="23" xfId="1" applyNumberFormat="1" applyFont="1" applyFill="1" applyBorder="1" applyAlignment="1">
      <alignment horizontal="right" vertical="center"/>
    </xf>
    <xf numFmtId="168" fontId="3" fillId="0" borderId="8" xfId="1" applyNumberFormat="1" applyFont="1" applyFill="1" applyBorder="1" applyAlignment="1">
      <alignment horizontal="right" vertical="center"/>
    </xf>
    <xf numFmtId="168" fontId="3" fillId="0" borderId="1" xfId="1" applyNumberFormat="1" applyFont="1" applyFill="1" applyBorder="1" applyAlignment="1">
      <alignment horizontal="right" vertical="center"/>
    </xf>
    <xf numFmtId="168" fontId="3" fillId="0" borderId="23" xfId="1" applyNumberFormat="1" applyFont="1" applyFill="1" applyBorder="1" applyAlignment="1">
      <alignment horizontal="right" vertical="center"/>
    </xf>
    <xf numFmtId="3" fontId="0" fillId="0" borderId="14" xfId="0" applyNumberFormat="1" applyBorder="1" applyAlignment="1">
      <alignment horizontal="right" vertical="center"/>
    </xf>
    <xf numFmtId="3" fontId="0" fillId="0" borderId="21" xfId="0" applyNumberFormat="1" applyBorder="1" applyAlignment="1">
      <alignment horizontal="right" vertical="center"/>
    </xf>
    <xf numFmtId="3" fontId="4" fillId="0" borderId="14" xfId="1" applyNumberFormat="1" applyFont="1" applyBorder="1" applyAlignment="1">
      <alignment horizontal="right" vertical="center"/>
    </xf>
    <xf numFmtId="3" fontId="3" fillId="0" borderId="38" xfId="1" applyNumberFormat="1" applyFont="1" applyBorder="1" applyAlignment="1">
      <alignment horizontal="right" vertical="center"/>
    </xf>
    <xf numFmtId="3" fontId="3" fillId="0" borderId="28" xfId="1" applyNumberFormat="1" applyFont="1" applyBorder="1" applyAlignment="1">
      <alignment horizontal="right" vertical="center"/>
    </xf>
    <xf numFmtId="3" fontId="3" fillId="0" borderId="1" xfId="1" applyNumberFormat="1" applyFont="1" applyBorder="1" applyAlignment="1">
      <alignment horizontal="right" vertical="center"/>
    </xf>
    <xf numFmtId="3" fontId="3" fillId="0" borderId="23" xfId="1" applyNumberFormat="1" applyFont="1" applyBorder="1" applyAlignment="1">
      <alignment horizontal="right" vertical="center"/>
    </xf>
    <xf numFmtId="3" fontId="3" fillId="0" borderId="14" xfId="1" applyNumberFormat="1" applyFont="1" applyBorder="1" applyAlignment="1">
      <alignment horizontal="right" vertical="center"/>
    </xf>
    <xf numFmtId="3" fontId="3" fillId="0" borderId="21" xfId="1" applyNumberFormat="1" applyFont="1" applyBorder="1" applyAlignment="1">
      <alignment horizontal="right" vertical="center"/>
    </xf>
    <xf numFmtId="164" fontId="3" fillId="0" borderId="7" xfId="1" applyNumberFormat="1" applyFont="1" applyFill="1" applyBorder="1" applyAlignment="1">
      <alignment horizontal="right" vertical="center"/>
    </xf>
    <xf numFmtId="164" fontId="3" fillId="0" borderId="19" xfId="1" applyNumberFormat="1" applyFont="1" applyFill="1" applyBorder="1" applyAlignment="1">
      <alignment horizontal="right" vertical="center"/>
    </xf>
    <xf numFmtId="164" fontId="3" fillId="0" borderId="2" xfId="1" applyNumberFormat="1" applyFont="1" applyFill="1" applyBorder="1" applyAlignment="1">
      <alignment horizontal="right" vertical="center"/>
    </xf>
    <xf numFmtId="164" fontId="3" fillId="0" borderId="20"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3" fillId="0" borderId="21" xfId="1" applyNumberFormat="1" applyFont="1" applyFill="1" applyBorder="1" applyAlignment="1">
      <alignment horizontal="right" vertical="center"/>
    </xf>
    <xf numFmtId="3" fontId="6" fillId="0" borderId="4" xfId="0" applyNumberFormat="1" applyFont="1" applyBorder="1" applyAlignment="1">
      <alignment horizontal="right" vertical="center"/>
    </xf>
    <xf numFmtId="3" fontId="6" fillId="0" borderId="22" xfId="0" applyNumberFormat="1" applyFont="1" applyBorder="1" applyAlignment="1">
      <alignment horizontal="right" vertical="center"/>
    </xf>
    <xf numFmtId="3" fontId="0" fillId="0" borderId="4" xfId="0" applyNumberFormat="1" applyBorder="1" applyAlignment="1">
      <alignment horizontal="right" vertical="center"/>
    </xf>
    <xf numFmtId="3" fontId="0" fillId="0" borderId="22" xfId="0" applyNumberFormat="1" applyBorder="1" applyAlignment="1">
      <alignment horizontal="right" vertical="center"/>
    </xf>
    <xf numFmtId="171" fontId="4" fillId="0" borderId="2" xfId="1" applyNumberFormat="1" applyFont="1" applyFill="1" applyBorder="1" applyAlignment="1" applyProtection="1">
      <alignment horizontal="right" vertical="center"/>
      <protection locked="0"/>
    </xf>
    <xf numFmtId="3" fontId="3" fillId="0" borderId="4" xfId="1" applyNumberFormat="1" applyFont="1" applyBorder="1" applyAlignment="1">
      <alignment horizontal="right" vertical="center"/>
    </xf>
    <xf numFmtId="3" fontId="3" fillId="0" borderId="22" xfId="1" applyNumberFormat="1" applyFont="1" applyBorder="1" applyAlignment="1">
      <alignment horizontal="right" vertical="center"/>
    </xf>
    <xf numFmtId="3" fontId="6" fillId="0" borderId="2" xfId="0" applyNumberFormat="1" applyFont="1" applyBorder="1" applyAlignment="1">
      <alignment horizontal="right" vertical="center"/>
    </xf>
    <xf numFmtId="3" fontId="6" fillId="0" borderId="20" xfId="0" applyNumberFormat="1" applyFont="1" applyBorder="1" applyAlignment="1">
      <alignment horizontal="right" vertical="center"/>
    </xf>
    <xf numFmtId="168" fontId="3" fillId="3" borderId="2" xfId="1" applyNumberFormat="1" applyFont="1" applyFill="1" applyBorder="1" applyAlignment="1">
      <alignment horizontal="right" vertical="center"/>
    </xf>
    <xf numFmtId="168" fontId="3" fillId="3" borderId="20" xfId="1" applyNumberFormat="1" applyFont="1" applyFill="1" applyBorder="1" applyAlignment="1">
      <alignment horizontal="right" vertical="center"/>
    </xf>
    <xf numFmtId="3" fontId="6" fillId="0" borderId="3" xfId="0" applyNumberFormat="1" applyFont="1" applyBorder="1" applyAlignment="1">
      <alignment horizontal="right" vertical="center"/>
    </xf>
    <xf numFmtId="3" fontId="0" fillId="0" borderId="3" xfId="0" applyNumberFormat="1" applyBorder="1" applyAlignment="1">
      <alignment horizontal="right" vertical="center"/>
    </xf>
    <xf numFmtId="168" fontId="3" fillId="3" borderId="9" xfId="1" applyNumberFormat="1" applyFont="1" applyFill="1" applyBorder="1" applyAlignment="1">
      <alignment horizontal="right" vertical="center"/>
    </xf>
    <xf numFmtId="168" fontId="3" fillId="3" borderId="14" xfId="1" applyNumberFormat="1" applyFont="1" applyFill="1" applyBorder="1" applyAlignment="1">
      <alignment horizontal="right" vertical="center"/>
    </xf>
    <xf numFmtId="168" fontId="3" fillId="3" borderId="21" xfId="1" applyNumberFormat="1" applyFont="1" applyFill="1" applyBorder="1" applyAlignment="1">
      <alignment horizontal="right" vertical="center"/>
    </xf>
    <xf numFmtId="167" fontId="56" fillId="0" borderId="0" xfId="2" applyNumberFormat="1" applyFont="1" applyFill="1" applyBorder="1"/>
    <xf numFmtId="172" fontId="0" fillId="0" borderId="0" xfId="0" applyNumberFormat="1"/>
    <xf numFmtId="0" fontId="4" fillId="0" borderId="177" xfId="0" applyFont="1" applyBorder="1" applyAlignment="1">
      <alignment vertical="top" wrapText="1"/>
    </xf>
    <xf numFmtId="0" fontId="4" fillId="0" borderId="178" xfId="0" applyFont="1" applyBorder="1" applyAlignment="1">
      <alignment vertical="top" wrapText="1"/>
    </xf>
    <xf numFmtId="0" fontId="15" fillId="17" borderId="1" xfId="0" applyFont="1" applyFill="1" applyBorder="1"/>
    <xf numFmtId="0" fontId="15" fillId="17" borderId="1" xfId="0" applyFont="1" applyFill="1" applyBorder="1" applyAlignment="1">
      <alignment horizontal="center" vertical="center"/>
    </xf>
    <xf numFmtId="168" fontId="0" fillId="0" borderId="7" xfId="0" applyNumberFormat="1" applyBorder="1" applyAlignment="1">
      <alignment horizontal="center" vertical="center"/>
    </xf>
    <xf numFmtId="0" fontId="55" fillId="0" borderId="14" xfId="0" applyFont="1" applyBorder="1"/>
    <xf numFmtId="168" fontId="0" fillId="0" borderId="14" xfId="0" applyNumberFormat="1" applyBorder="1" applyAlignment="1">
      <alignment horizontal="center" vertical="center"/>
    </xf>
    <xf numFmtId="168" fontId="55" fillId="0" borderId="7" xfId="0" applyNumberFormat="1" applyFont="1" applyBorder="1" applyAlignment="1">
      <alignment horizontal="center" vertical="center"/>
    </xf>
    <xf numFmtId="168" fontId="55" fillId="0" borderId="14" xfId="0" applyNumberFormat="1" applyFont="1" applyBorder="1" applyAlignment="1">
      <alignment horizontal="center" vertical="center"/>
    </xf>
    <xf numFmtId="164" fontId="0" fillId="23" borderId="4" xfId="0" applyNumberFormat="1" applyFill="1" applyBorder="1" applyAlignment="1">
      <alignment horizontal="center" vertical="center"/>
    </xf>
    <xf numFmtId="164" fontId="0" fillId="0" borderId="4" xfId="0" applyNumberFormat="1" applyBorder="1" applyAlignment="1">
      <alignment horizontal="center" vertical="center"/>
    </xf>
    <xf numFmtId="0" fontId="4" fillId="0" borderId="2" xfId="1" applyFont="1" applyBorder="1" applyAlignment="1">
      <alignment horizontal="center" vertical="center"/>
    </xf>
    <xf numFmtId="164" fontId="4" fillId="0" borderId="2" xfId="1" applyNumberFormat="1" applyFont="1" applyBorder="1" applyAlignment="1">
      <alignment horizontal="center"/>
    </xf>
    <xf numFmtId="167" fontId="3" fillId="5" borderId="23" xfId="4" applyNumberFormat="1" applyFont="1" applyFill="1" applyBorder="1" applyAlignment="1">
      <alignment horizontal="right" vertical="center" wrapText="1"/>
    </xf>
    <xf numFmtId="49" fontId="0" fillId="0" borderId="0" xfId="0" applyNumberFormat="1"/>
    <xf numFmtId="164" fontId="0" fillId="0" borderId="0" xfId="0" applyNumberFormat="1" applyAlignment="1">
      <alignment horizontal="right" vertical="center"/>
    </xf>
    <xf numFmtId="0" fontId="1" fillId="0" borderId="0" xfId="0" applyFont="1" applyAlignment="1">
      <alignment horizontal="center" vertical="center"/>
    </xf>
    <xf numFmtId="2" fontId="3" fillId="0" borderId="0" xfId="2" applyNumberFormat="1" applyFont="1" applyFill="1" applyBorder="1" applyAlignment="1">
      <alignment horizontal="right" vertical="center"/>
    </xf>
    <xf numFmtId="2" fontId="4" fillId="0" borderId="0" xfId="2" applyNumberFormat="1" applyFont="1" applyFill="1" applyBorder="1" applyAlignment="1">
      <alignment horizontal="right" vertical="center"/>
    </xf>
    <xf numFmtId="167" fontId="3" fillId="0" borderId="0" xfId="4" applyNumberFormat="1" applyFont="1" applyAlignment="1">
      <alignment horizontal="right" vertical="center" wrapText="1"/>
    </xf>
    <xf numFmtId="167" fontId="44" fillId="0" borderId="0" xfId="2" applyNumberFormat="1" applyFont="1" applyFill="1" applyBorder="1" applyAlignment="1">
      <alignment horizontal="right" vertical="center"/>
    </xf>
    <xf numFmtId="169" fontId="3" fillId="0" borderId="0" xfId="2" applyNumberFormat="1" applyFont="1" applyFill="1" applyBorder="1" applyAlignment="1">
      <alignment vertical="center"/>
    </xf>
    <xf numFmtId="169" fontId="4" fillId="0" borderId="0" xfId="2" applyNumberFormat="1" applyFont="1" applyFill="1" applyBorder="1" applyAlignment="1">
      <alignment vertical="center"/>
    </xf>
    <xf numFmtId="1" fontId="3" fillId="0" borderId="0" xfId="4" applyNumberFormat="1" applyFont="1" applyAlignment="1">
      <alignment vertical="center" wrapText="1"/>
    </xf>
    <xf numFmtId="167" fontId="25" fillId="0" borderId="0" xfId="2" applyNumberFormat="1" applyFont="1" applyFill="1" applyBorder="1" applyAlignment="1">
      <alignment vertical="center"/>
    </xf>
    <xf numFmtId="164" fontId="3" fillId="0" borderId="2" xfId="1" applyNumberFormat="1" applyFont="1" applyFill="1" applyBorder="1" applyAlignment="1">
      <alignment horizontal="center" vertical="center"/>
    </xf>
    <xf numFmtId="0" fontId="0" fillId="26" borderId="0" xfId="0" applyFill="1"/>
    <xf numFmtId="0" fontId="2" fillId="4" borderId="39" xfId="1" applyFill="1" applyBorder="1" applyAlignment="1">
      <alignment horizontal="center" vertical="center" wrapText="1"/>
    </xf>
    <xf numFmtId="0" fontId="50" fillId="0" borderId="179" xfId="13" applyFont="1" applyBorder="1" applyAlignment="1">
      <alignment horizontal="center"/>
    </xf>
    <xf numFmtId="0" fontId="58" fillId="0" borderId="0" xfId="13" applyFont="1"/>
    <xf numFmtId="4" fontId="58" fillId="0" borderId="0" xfId="0" applyNumberFormat="1" applyFont="1"/>
    <xf numFmtId="3" fontId="22" fillId="0" borderId="4" xfId="0" applyNumberFormat="1" applyFont="1" applyBorder="1"/>
    <xf numFmtId="164" fontId="14" fillId="0" borderId="2" xfId="0" applyNumberFormat="1" applyFont="1" applyBorder="1"/>
    <xf numFmtId="164" fontId="23" fillId="0" borderId="14" xfId="0" applyNumberFormat="1" applyFont="1" applyBorder="1"/>
    <xf numFmtId="1" fontId="0" fillId="0" borderId="2" xfId="2" applyNumberFormat="1" applyFont="1" applyBorder="1" applyAlignment="1">
      <alignment horizontal="right" vertical="center" wrapText="1"/>
    </xf>
    <xf numFmtId="3" fontId="6" fillId="0" borderId="116" xfId="0" applyNumberFormat="1" applyFont="1" applyBorder="1" applyAlignment="1">
      <alignment horizontal="center" vertical="center" wrapText="1"/>
    </xf>
    <xf numFmtId="3" fontId="6" fillId="0" borderId="52" xfId="0" applyNumberFormat="1" applyFont="1" applyBorder="1" applyAlignment="1">
      <alignment horizontal="center" vertical="center" wrapText="1"/>
    </xf>
    <xf numFmtId="3" fontId="6" fillId="0" borderId="141" xfId="0" applyNumberFormat="1" applyFont="1" applyBorder="1" applyAlignment="1">
      <alignment horizontal="center" vertical="center" wrapText="1"/>
    </xf>
    <xf numFmtId="3" fontId="0" fillId="0" borderId="116" xfId="0" applyNumberFormat="1" applyBorder="1" applyAlignment="1">
      <alignment horizontal="center" vertical="center" wrapText="1"/>
    </xf>
    <xf numFmtId="3" fontId="0" fillId="0" borderId="3" xfId="0" applyNumberFormat="1" applyBorder="1" applyAlignment="1">
      <alignment horizontal="center" vertical="center" wrapText="1"/>
    </xf>
    <xf numFmtId="3" fontId="0" fillId="0" borderId="113" xfId="0" applyNumberFormat="1" applyBorder="1" applyAlignment="1">
      <alignment horizontal="center" vertical="center" wrapText="1"/>
    </xf>
    <xf numFmtId="164" fontId="0" fillId="0" borderId="52" xfId="0" applyNumberFormat="1" applyBorder="1" applyAlignment="1">
      <alignment horizontal="center" vertical="center" wrapText="1"/>
    </xf>
    <xf numFmtId="164" fontId="0" fillId="0" borderId="3" xfId="0" applyNumberFormat="1" applyBorder="1" applyAlignment="1">
      <alignment horizontal="center" vertical="center" wrapText="1"/>
    </xf>
    <xf numFmtId="0" fontId="15" fillId="17" borderId="180" xfId="0" applyFont="1" applyFill="1" applyBorder="1" applyAlignment="1">
      <alignment horizontal="center" vertical="center" wrapText="1"/>
    </xf>
    <xf numFmtId="164" fontId="6" fillId="0" borderId="9" xfId="0" applyNumberFormat="1" applyFont="1" applyBorder="1" applyAlignment="1">
      <alignment horizontal="center" vertical="center" wrapText="1"/>
    </xf>
    <xf numFmtId="164" fontId="0" fillId="0" borderId="8"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6" fillId="0" borderId="10" xfId="0" applyNumberFormat="1" applyFont="1" applyBorder="1" applyAlignment="1">
      <alignment horizontal="center" vertical="center" wrapText="1"/>
    </xf>
    <xf numFmtId="164" fontId="6" fillId="0" borderId="52"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3" fontId="6" fillId="0" borderId="10" xfId="0" applyNumberFormat="1" applyFont="1" applyBorder="1" applyAlignment="1">
      <alignment horizontal="center" wrapText="1"/>
    </xf>
    <xf numFmtId="3" fontId="0" fillId="0" borderId="141" xfId="0" applyNumberFormat="1" applyBorder="1" applyAlignment="1">
      <alignment horizontal="center" wrapText="1"/>
    </xf>
    <xf numFmtId="3" fontId="6" fillId="0" borderId="116" xfId="0" applyNumberFormat="1" applyFont="1" applyBorder="1" applyAlignment="1">
      <alignment horizontal="center" wrapText="1"/>
    </xf>
    <xf numFmtId="3" fontId="0" fillId="0" borderId="113" xfId="0" applyNumberFormat="1" applyBorder="1" applyAlignment="1">
      <alignment horizontal="center" wrapText="1"/>
    </xf>
    <xf numFmtId="164" fontId="0" fillId="0" borderId="52" xfId="0" applyNumberFormat="1" applyBorder="1" applyAlignment="1">
      <alignment horizontal="center" wrapText="1"/>
    </xf>
    <xf numFmtId="164" fontId="6" fillId="0" borderId="9" xfId="0" applyNumberFormat="1" applyFont="1" applyBorder="1" applyAlignment="1">
      <alignment horizontal="center" wrapText="1"/>
    </xf>
    <xf numFmtId="0" fontId="15" fillId="17" borderId="79" xfId="0" applyFont="1" applyFill="1" applyBorder="1" applyAlignment="1">
      <alignment horizontal="center" vertical="center" wrapText="1"/>
    </xf>
    <xf numFmtId="169" fontId="6" fillId="0" borderId="10" xfId="2" applyNumberFormat="1" applyFont="1" applyBorder="1" applyAlignment="1">
      <alignment horizontal="center" vertical="center" wrapText="1"/>
    </xf>
    <xf numFmtId="169" fontId="0" fillId="0" borderId="73" xfId="2" applyNumberFormat="1" applyFont="1" applyBorder="1" applyAlignment="1">
      <alignment horizontal="center" vertical="center" wrapText="1"/>
    </xf>
    <xf numFmtId="169" fontId="0" fillId="0" borderId="9" xfId="2" applyNumberFormat="1" applyFont="1" applyBorder="1" applyAlignment="1">
      <alignment horizontal="center" vertical="center" wrapText="1"/>
    </xf>
    <xf numFmtId="168" fontId="0" fillId="0" borderId="78" xfId="0" applyNumberFormat="1" applyBorder="1" applyAlignment="1">
      <alignment horizontal="center" vertical="center" wrapText="1"/>
    </xf>
    <xf numFmtId="0" fontId="6" fillId="0" borderId="3" xfId="0" applyFont="1" applyBorder="1" applyAlignment="1">
      <alignment wrapText="1"/>
    </xf>
    <xf numFmtId="0" fontId="0" fillId="0" borderId="73" xfId="0" applyBorder="1" applyAlignment="1">
      <alignment wrapText="1"/>
    </xf>
    <xf numFmtId="0" fontId="15" fillId="17" borderId="73" xfId="0" applyFont="1" applyFill="1" applyBorder="1" applyAlignment="1">
      <alignment horizontal="center" vertical="center" wrapText="1"/>
    </xf>
    <xf numFmtId="169" fontId="6" fillId="0" borderId="3" xfId="2" applyNumberFormat="1" applyFont="1" applyBorder="1" applyAlignment="1">
      <alignment horizontal="center" vertical="center" wrapText="1"/>
    </xf>
    <xf numFmtId="1" fontId="0" fillId="0" borderId="3" xfId="2" applyNumberFormat="1" applyFont="1" applyBorder="1" applyAlignment="1">
      <alignment horizontal="right" vertical="center" wrapText="1"/>
    </xf>
    <xf numFmtId="168" fontId="6" fillId="0" borderId="9" xfId="0" applyNumberFormat="1" applyFont="1" applyBorder="1" applyAlignment="1">
      <alignment horizontal="center" vertical="center" wrapText="1"/>
    </xf>
    <xf numFmtId="169" fontId="0" fillId="0" borderId="10" xfId="2" applyNumberFormat="1" applyFont="1" applyBorder="1" applyAlignment="1">
      <alignment horizontal="center" wrapText="1"/>
    </xf>
    <xf numFmtId="169" fontId="0" fillId="0" borderId="3" xfId="2" applyNumberFormat="1" applyFont="1" applyBorder="1" applyAlignment="1">
      <alignment horizontal="center" wrapText="1"/>
    </xf>
    <xf numFmtId="0" fontId="15" fillId="17" borderId="166" xfId="0" applyFont="1" applyFill="1" applyBorder="1" applyAlignment="1">
      <alignment horizontal="center" vertical="center" wrapText="1"/>
    </xf>
    <xf numFmtId="3" fontId="0" fillId="0" borderId="10" xfId="0" applyNumberFormat="1" applyBorder="1" applyAlignment="1">
      <alignment horizontal="center" wrapText="1"/>
    </xf>
    <xf numFmtId="3" fontId="48" fillId="0" borderId="3" xfId="0" applyNumberFormat="1" applyFont="1" applyBorder="1" applyAlignment="1">
      <alignment horizontal="center" wrapText="1"/>
    </xf>
    <xf numFmtId="168" fontId="0" fillId="0" borderId="9" xfId="0" applyNumberFormat="1" applyBorder="1" applyAlignment="1">
      <alignment horizontal="center" wrapText="1"/>
    </xf>
    <xf numFmtId="3" fontId="0" fillId="0" borderId="3" xfId="0" applyNumberFormat="1" applyBorder="1" applyAlignment="1">
      <alignment horizontal="center" wrapText="1"/>
    </xf>
    <xf numFmtId="3" fontId="6" fillId="0" borderId="8" xfId="0" applyNumberFormat="1" applyFont="1" applyBorder="1" applyAlignment="1">
      <alignment horizontal="center" wrapText="1"/>
    </xf>
    <xf numFmtId="0" fontId="15" fillId="17" borderId="78" xfId="0" applyFont="1" applyFill="1" applyBorder="1" applyAlignment="1">
      <alignment horizontal="center" vertical="center" wrapText="1"/>
    </xf>
    <xf numFmtId="3" fontId="47" fillId="20" borderId="3" xfId="0" applyNumberFormat="1" applyFont="1" applyFill="1" applyBorder="1" applyAlignment="1">
      <alignment horizontal="center" wrapText="1"/>
    </xf>
    <xf numFmtId="168" fontId="6" fillId="0" borderId="75" xfId="0" applyNumberFormat="1" applyFont="1" applyBorder="1" applyAlignment="1">
      <alignment horizontal="center" vertical="center" wrapText="1"/>
    </xf>
    <xf numFmtId="169" fontId="6" fillId="0" borderId="69" xfId="2" applyNumberFormat="1" applyFont="1" applyBorder="1" applyAlignment="1">
      <alignment horizontal="right" wrapText="1"/>
    </xf>
    <xf numFmtId="0" fontId="6" fillId="0" borderId="117" xfId="0" applyFont="1" applyBorder="1" applyAlignment="1">
      <alignment horizontal="center" wrapText="1"/>
    </xf>
    <xf numFmtId="0" fontId="6" fillId="0" borderId="4" xfId="0" applyFont="1" applyBorder="1" applyAlignment="1">
      <alignment horizontal="center" wrapText="1"/>
    </xf>
    <xf numFmtId="0" fontId="6" fillId="0" borderId="114" xfId="0" applyFont="1" applyBorder="1" applyAlignment="1">
      <alignment horizontal="center" wrapText="1"/>
    </xf>
    <xf numFmtId="1" fontId="0" fillId="0" borderId="7" xfId="2" applyNumberFormat="1" applyFont="1" applyBorder="1" applyAlignment="1">
      <alignment horizontal="center" wrapText="1"/>
    </xf>
    <xf numFmtId="1" fontId="0" fillId="0" borderId="2" xfId="2" applyNumberFormat="1" applyFont="1" applyBorder="1" applyAlignment="1">
      <alignment horizontal="center" wrapText="1"/>
    </xf>
    <xf numFmtId="1" fontId="0" fillId="0" borderId="114" xfId="2" applyNumberFormat="1" applyFont="1" applyBorder="1" applyAlignment="1">
      <alignment horizontal="center" wrapText="1"/>
    </xf>
    <xf numFmtId="168" fontId="0" fillId="0" borderId="2" xfId="0" applyNumberFormat="1" applyBorder="1" applyAlignment="1">
      <alignment wrapText="1"/>
    </xf>
    <xf numFmtId="168" fontId="0" fillId="0" borderId="5" xfId="0" applyNumberFormat="1" applyBorder="1" applyAlignment="1">
      <alignment wrapText="1"/>
    </xf>
    <xf numFmtId="168" fontId="0" fillId="0" borderId="14" xfId="0" applyNumberFormat="1" applyBorder="1" applyAlignment="1">
      <alignment wrapText="1"/>
    </xf>
    <xf numFmtId="168" fontId="6" fillId="0" borderId="7" xfId="0" applyNumberFormat="1" applyFont="1" applyBorder="1" applyAlignment="1">
      <alignment horizontal="center" vertical="center" wrapText="1"/>
    </xf>
    <xf numFmtId="164" fontId="0" fillId="27" borderId="20" xfId="0" applyNumberFormat="1" applyFill="1" applyBorder="1" applyAlignment="1">
      <alignment horizontal="center" wrapText="1"/>
    </xf>
    <xf numFmtId="164" fontId="42" fillId="24" borderId="21" xfId="0" applyNumberFormat="1" applyFont="1" applyFill="1" applyBorder="1" applyAlignment="1">
      <alignment horizontal="left" wrapText="1" indent="2"/>
    </xf>
    <xf numFmtId="0" fontId="42" fillId="3" borderId="21" xfId="0" applyFont="1" applyFill="1" applyBorder="1" applyAlignment="1">
      <alignment wrapText="1"/>
    </xf>
    <xf numFmtId="164" fontId="42" fillId="24" borderId="20" xfId="0" applyNumberFormat="1" applyFont="1" applyFill="1" applyBorder="1" applyAlignment="1">
      <alignment horizontal="center" wrapText="1"/>
    </xf>
    <xf numFmtId="164" fontId="42" fillId="18" borderId="21" xfId="0" applyNumberFormat="1" applyFont="1" applyFill="1" applyBorder="1" applyAlignment="1">
      <alignment horizontal="center" wrapText="1"/>
    </xf>
    <xf numFmtId="164" fontId="0" fillId="0" borderId="20" xfId="0" applyNumberFormat="1" applyBorder="1" applyAlignment="1">
      <alignment horizontal="center" wrapText="1"/>
    </xf>
    <xf numFmtId="164" fontId="60" fillId="24" borderId="21" xfId="0" applyNumberFormat="1" applyFont="1" applyFill="1" applyBorder="1" applyAlignment="1">
      <alignment horizontal="center" wrapText="1"/>
    </xf>
    <xf numFmtId="168" fontId="25" fillId="0" borderId="14" xfId="0" applyNumberFormat="1" applyFont="1" applyBorder="1" applyAlignment="1">
      <alignment horizontal="center" vertical="center" wrapText="1"/>
    </xf>
    <xf numFmtId="169" fontId="60" fillId="24" borderId="23" xfId="2" applyNumberFormat="1" applyFont="1" applyFill="1" applyBorder="1" applyAlignment="1">
      <alignment horizontal="center" vertical="center" wrapText="1"/>
    </xf>
    <xf numFmtId="164" fontId="25" fillId="24" borderId="21" xfId="0" applyNumberFormat="1" applyFont="1" applyFill="1" applyBorder="1" applyAlignment="1">
      <alignment horizontal="center" wrapText="1"/>
    </xf>
    <xf numFmtId="0" fontId="60" fillId="24" borderId="23" xfId="0" applyFont="1" applyFill="1" applyBorder="1" applyAlignment="1">
      <alignment horizontal="center"/>
    </xf>
    <xf numFmtId="0" fontId="0" fillId="24" borderId="17" xfId="0" applyFill="1" applyBorder="1" applyAlignment="1">
      <alignment horizontal="center"/>
    </xf>
    <xf numFmtId="0" fontId="60" fillId="24" borderId="20" xfId="0" applyFont="1" applyFill="1" applyBorder="1" applyAlignment="1">
      <alignment horizontal="center"/>
    </xf>
    <xf numFmtId="1" fontId="0" fillId="23" borderId="20" xfId="0" applyNumberFormat="1" applyFill="1" applyBorder="1" applyAlignment="1">
      <alignment horizontal="center"/>
    </xf>
    <xf numFmtId="164" fontId="0" fillId="23" borderId="20" xfId="0" applyNumberFormat="1" applyFill="1" applyBorder="1" applyAlignment="1">
      <alignment horizontal="center"/>
    </xf>
    <xf numFmtId="164" fontId="0" fillId="0" borderId="7" xfId="0" applyNumberFormat="1" applyBorder="1" applyAlignment="1">
      <alignment horizontal="center" vertical="center"/>
    </xf>
    <xf numFmtId="164" fontId="0" fillId="0" borderId="14" xfId="0" applyNumberFormat="1" applyBorder="1" applyAlignment="1">
      <alignment horizontal="center" vertical="center"/>
    </xf>
    <xf numFmtId="1" fontId="4" fillId="3" borderId="2" xfId="2" applyNumberFormat="1" applyFont="1" applyFill="1" applyBorder="1" applyAlignment="1">
      <alignment horizontal="right" vertical="center"/>
    </xf>
    <xf numFmtId="1" fontId="25" fillId="3" borderId="2" xfId="2" applyNumberFormat="1" applyFont="1" applyFill="1" applyBorder="1" applyAlignment="1">
      <alignment horizontal="right" vertical="center"/>
    </xf>
    <xf numFmtId="169" fontId="0" fillId="0" borderId="22" xfId="2" applyNumberFormat="1" applyFont="1" applyBorder="1" applyAlignment="1">
      <alignment wrapText="1"/>
    </xf>
    <xf numFmtId="164" fontId="61" fillId="20" borderId="19" xfId="0" applyNumberFormat="1" applyFont="1" applyFill="1" applyBorder="1" applyAlignment="1">
      <alignment horizontal="center" wrapText="1"/>
    </xf>
    <xf numFmtId="164" fontId="61" fillId="28" borderId="20" xfId="0" applyNumberFormat="1" applyFont="1" applyFill="1" applyBorder="1" applyAlignment="1">
      <alignment horizontal="center" vertical="center" wrapText="1"/>
    </xf>
    <xf numFmtId="164" fontId="61" fillId="29" borderId="20" xfId="0" applyNumberFormat="1" applyFont="1" applyFill="1" applyBorder="1" applyAlignment="1">
      <alignment horizontal="center" wrapText="1"/>
    </xf>
    <xf numFmtId="0" fontId="2" fillId="3" borderId="0" xfId="1" applyFill="1"/>
    <xf numFmtId="164" fontId="3" fillId="3" borderId="20" xfId="2" applyNumberFormat="1" applyFont="1" applyFill="1" applyBorder="1" applyAlignment="1">
      <alignment horizontal="right" vertical="center"/>
    </xf>
    <xf numFmtId="164" fontId="4" fillId="3" borderId="20" xfId="2" applyNumberFormat="1" applyFont="1" applyFill="1" applyBorder="1" applyAlignment="1">
      <alignment horizontal="right" vertical="center"/>
    </xf>
    <xf numFmtId="0" fontId="6" fillId="0" borderId="20" xfId="0" applyFont="1" applyBorder="1" applyAlignment="1">
      <alignment vertical="center"/>
    </xf>
    <xf numFmtId="164" fontId="6" fillId="0" borderId="20" xfId="0" applyNumberFormat="1" applyFont="1" applyBorder="1" applyAlignment="1">
      <alignment horizontal="right" vertical="center"/>
    </xf>
    <xf numFmtId="164" fontId="6" fillId="23" borderId="37" xfId="0" applyNumberFormat="1" applyFont="1" applyFill="1" applyBorder="1" applyAlignment="1">
      <alignment horizontal="center"/>
    </xf>
    <xf numFmtId="164" fontId="6" fillId="23" borderId="35" xfId="0" applyNumberFormat="1" applyFont="1" applyFill="1" applyBorder="1" applyAlignment="1">
      <alignment horizontal="center"/>
    </xf>
    <xf numFmtId="164" fontId="6" fillId="23" borderId="32" xfId="0" applyNumberFormat="1" applyFont="1" applyFill="1" applyBorder="1" applyAlignment="1">
      <alignment horizontal="center"/>
    </xf>
    <xf numFmtId="164" fontId="0" fillId="23" borderId="30" xfId="0" applyNumberFormat="1" applyFill="1" applyBorder="1"/>
    <xf numFmtId="164" fontId="0" fillId="23" borderId="27" xfId="0" applyNumberFormat="1" applyFill="1" applyBorder="1"/>
    <xf numFmtId="3" fontId="0" fillId="0" borderId="20" xfId="0" applyNumberFormat="1" applyBorder="1" applyAlignment="1">
      <alignment horizontal="center"/>
    </xf>
    <xf numFmtId="3" fontId="0" fillId="0" borderId="56" xfId="0" applyNumberFormat="1" applyBorder="1"/>
    <xf numFmtId="3" fontId="0" fillId="0" borderId="10" xfId="0" applyNumberFormat="1" applyBorder="1"/>
    <xf numFmtId="3" fontId="0" fillId="0" borderId="4" xfId="0" applyNumberFormat="1" applyBorder="1"/>
    <xf numFmtId="168" fontId="6" fillId="0" borderId="19" xfId="0" applyNumberFormat="1" applyFont="1" applyBorder="1" applyAlignment="1">
      <alignment horizontal="right" vertical="center"/>
    </xf>
    <xf numFmtId="164" fontId="62" fillId="0" borderId="0" xfId="0" applyNumberFormat="1" applyFont="1"/>
    <xf numFmtId="164" fontId="63" fillId="0" borderId="33" xfId="0" applyNumberFormat="1" applyFont="1" applyBorder="1"/>
    <xf numFmtId="164" fontId="62" fillId="0" borderId="36" xfId="0" applyNumberFormat="1" applyFont="1" applyBorder="1"/>
    <xf numFmtId="164" fontId="63" fillId="0" borderId="34" xfId="0" applyNumberFormat="1" applyFont="1" applyBorder="1"/>
    <xf numFmtId="0" fontId="64" fillId="0" borderId="0" xfId="0" applyFont="1"/>
    <xf numFmtId="168" fontId="65" fillId="0" borderId="0" xfId="13" applyNumberFormat="1" applyFont="1" applyAlignment="1">
      <alignment horizontal="right"/>
    </xf>
    <xf numFmtId="164" fontId="18" fillId="0" borderId="20" xfId="10" applyNumberFormat="1" applyFont="1" applyBorder="1" applyAlignment="1">
      <alignment horizontal="right"/>
    </xf>
    <xf numFmtId="164" fontId="6" fillId="0" borderId="20" xfId="0" applyNumberFormat="1" applyFont="1" applyBorder="1" applyAlignment="1">
      <alignment horizontal="right"/>
    </xf>
    <xf numFmtId="0" fontId="0" fillId="12" borderId="41" xfId="0" applyFill="1" applyBorder="1" applyAlignment="1">
      <alignment horizontal="left" vertical="center" wrapText="1"/>
    </xf>
    <xf numFmtId="0" fontId="0" fillId="12" borderId="42" xfId="0" applyFill="1" applyBorder="1" applyAlignment="1">
      <alignment horizontal="left" vertical="center" wrapText="1"/>
    </xf>
    <xf numFmtId="0" fontId="0" fillId="12" borderId="40" xfId="0" applyFill="1" applyBorder="1" applyAlignment="1">
      <alignment horizontal="left" vertical="center" wrapText="1"/>
    </xf>
    <xf numFmtId="0" fontId="0" fillId="13" borderId="41" xfId="0" applyFill="1" applyBorder="1" applyAlignment="1">
      <alignment horizontal="left" vertical="center" wrapText="1"/>
    </xf>
    <xf numFmtId="0" fontId="0" fillId="13" borderId="42" xfId="0" applyFill="1" applyBorder="1" applyAlignment="1">
      <alignment horizontal="left" vertical="center" wrapText="1"/>
    </xf>
    <xf numFmtId="0" fontId="0" fillId="13" borderId="45" xfId="0" applyFill="1" applyBorder="1" applyAlignment="1">
      <alignment horizontal="left" vertical="center" wrapText="1"/>
    </xf>
    <xf numFmtId="0" fontId="0" fillId="13" borderId="176" xfId="0" applyFill="1" applyBorder="1" applyAlignment="1">
      <alignment horizontal="left" vertical="center" wrapText="1"/>
    </xf>
    <xf numFmtId="0" fontId="0" fillId="13" borderId="40" xfId="0" applyFill="1" applyBorder="1" applyAlignment="1">
      <alignment horizontal="left" vertical="center" wrapText="1"/>
    </xf>
    <xf numFmtId="0" fontId="0" fillId="10" borderId="41" xfId="0" applyFill="1" applyBorder="1" applyAlignment="1">
      <alignment horizontal="left" vertical="center" wrapText="1"/>
    </xf>
    <xf numFmtId="0" fontId="0" fillId="10" borderId="42" xfId="0" applyFill="1" applyBorder="1" applyAlignment="1">
      <alignment horizontal="left" vertical="center" wrapText="1"/>
    </xf>
    <xf numFmtId="0" fontId="0" fillId="10" borderId="40" xfId="0" applyFill="1" applyBorder="1" applyAlignment="1">
      <alignment horizontal="left" vertical="center" wrapText="1"/>
    </xf>
    <xf numFmtId="0" fontId="19" fillId="2" borderId="0" xfId="0" applyFont="1" applyFill="1" applyAlignment="1">
      <alignment horizontal="center" vertical="center" wrapText="1"/>
    </xf>
    <xf numFmtId="0" fontId="0" fillId="9" borderId="41" xfId="0" applyFill="1" applyBorder="1" applyAlignment="1">
      <alignment horizontal="center" wrapText="1"/>
    </xf>
    <xf numFmtId="0" fontId="0" fillId="9" borderId="42" xfId="0" applyFill="1" applyBorder="1" applyAlignment="1">
      <alignment horizontal="center" wrapText="1"/>
    </xf>
    <xf numFmtId="0" fontId="0" fillId="9" borderId="40" xfId="0" applyFill="1" applyBorder="1" applyAlignment="1">
      <alignment horizontal="center" wrapText="1"/>
    </xf>
    <xf numFmtId="0" fontId="3" fillId="12" borderId="41" xfId="1" applyFont="1" applyFill="1" applyBorder="1" applyAlignment="1">
      <alignment horizontal="center" vertical="center" wrapText="1"/>
    </xf>
    <xf numFmtId="0" fontId="3" fillId="12" borderId="42" xfId="1" applyFont="1" applyFill="1" applyBorder="1" applyAlignment="1">
      <alignment horizontal="center" vertical="center" wrapText="1"/>
    </xf>
    <xf numFmtId="0" fontId="3" fillId="12" borderId="40" xfId="1" applyFont="1" applyFill="1" applyBorder="1" applyAlignment="1">
      <alignment horizontal="center" vertical="center" wrapText="1"/>
    </xf>
    <xf numFmtId="0" fontId="3" fillId="9" borderId="41" xfId="1" applyFont="1" applyFill="1" applyBorder="1" applyAlignment="1">
      <alignment horizontal="center" vertical="center" wrapText="1"/>
    </xf>
    <xf numFmtId="0" fontId="3" fillId="9" borderId="42" xfId="1" applyFont="1" applyFill="1" applyBorder="1" applyAlignment="1">
      <alignment horizontal="center" vertical="center" wrapText="1"/>
    </xf>
    <xf numFmtId="0" fontId="3" fillId="9" borderId="40" xfId="1" applyFont="1" applyFill="1" applyBorder="1" applyAlignment="1">
      <alignment horizontal="center" vertical="center" wrapText="1"/>
    </xf>
    <xf numFmtId="0" fontId="3" fillId="13" borderId="41" xfId="1" applyFont="1" applyFill="1" applyBorder="1" applyAlignment="1">
      <alignment horizontal="center" vertical="center" wrapText="1"/>
    </xf>
    <xf numFmtId="0" fontId="3" fillId="13" borderId="42" xfId="1" applyFont="1" applyFill="1" applyBorder="1" applyAlignment="1">
      <alignment horizontal="center" vertical="center" wrapText="1"/>
    </xf>
    <xf numFmtId="0" fontId="3" fillId="13" borderId="40" xfId="1" applyFont="1" applyFill="1" applyBorder="1" applyAlignment="1">
      <alignment horizontal="center" vertical="center" wrapText="1"/>
    </xf>
    <xf numFmtId="0" fontId="3" fillId="4" borderId="41" xfId="1" applyFont="1" applyFill="1" applyBorder="1" applyAlignment="1">
      <alignment horizontal="center" vertical="center" wrapText="1"/>
    </xf>
    <xf numFmtId="0" fontId="3" fillId="4" borderId="42"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11" borderId="41" xfId="1" applyFont="1" applyFill="1" applyBorder="1" applyAlignment="1">
      <alignment horizontal="center" vertical="center" wrapText="1"/>
    </xf>
    <xf numFmtId="0" fontId="3" fillId="11" borderId="42" xfId="1" applyFont="1" applyFill="1" applyBorder="1" applyAlignment="1">
      <alignment horizontal="center" vertical="center" wrapText="1"/>
    </xf>
    <xf numFmtId="0" fontId="3" fillId="11" borderId="40" xfId="1" applyFont="1" applyFill="1" applyBorder="1" applyAlignment="1">
      <alignment horizontal="center" vertical="center" wrapText="1"/>
    </xf>
    <xf numFmtId="0" fontId="0" fillId="11" borderId="41" xfId="0" applyFill="1" applyBorder="1" applyAlignment="1">
      <alignment horizontal="left" vertical="center" wrapText="1"/>
    </xf>
    <xf numFmtId="0" fontId="0" fillId="11" borderId="42" xfId="0" applyFill="1" applyBorder="1" applyAlignment="1">
      <alignment horizontal="left" vertical="center" wrapText="1"/>
    </xf>
    <xf numFmtId="0" fontId="0" fillId="11" borderId="40" xfId="0" applyFill="1" applyBorder="1" applyAlignment="1">
      <alignment horizontal="left" vertical="center" wrapText="1"/>
    </xf>
    <xf numFmtId="0" fontId="3" fillId="10" borderId="41" xfId="1" applyFont="1" applyFill="1" applyBorder="1" applyAlignment="1">
      <alignment horizontal="center" vertical="center" wrapText="1"/>
    </xf>
    <xf numFmtId="0" fontId="3" fillId="10" borderId="42" xfId="1" applyFont="1" applyFill="1" applyBorder="1" applyAlignment="1">
      <alignment horizontal="center" vertical="center" wrapText="1"/>
    </xf>
    <xf numFmtId="0" fontId="3" fillId="10" borderId="40" xfId="1" applyFont="1" applyFill="1" applyBorder="1" applyAlignment="1">
      <alignment horizontal="center" vertical="center" wrapText="1"/>
    </xf>
    <xf numFmtId="0" fontId="0" fillId="16" borderId="41" xfId="0" applyFill="1" applyBorder="1" applyAlignment="1">
      <alignment horizontal="left" vertical="center" wrapText="1"/>
    </xf>
    <xf numFmtId="0" fontId="0" fillId="16" borderId="42" xfId="0" applyFill="1" applyBorder="1" applyAlignment="1">
      <alignment horizontal="left" vertical="center" wrapText="1"/>
    </xf>
    <xf numFmtId="0" fontId="0" fillId="16" borderId="40" xfId="0" applyFill="1" applyBorder="1" applyAlignment="1">
      <alignment horizontal="left" vertical="center" wrapText="1"/>
    </xf>
    <xf numFmtId="0" fontId="0" fillId="16" borderId="45" xfId="0" applyFill="1" applyBorder="1" applyAlignment="1">
      <alignment horizontal="left" vertical="center" wrapText="1"/>
    </xf>
    <xf numFmtId="0" fontId="3" fillId="16" borderId="41" xfId="1" applyFont="1" applyFill="1" applyBorder="1" applyAlignment="1">
      <alignment horizontal="center" vertical="center" wrapText="1"/>
    </xf>
    <xf numFmtId="0" fontId="3" fillId="16" borderId="42" xfId="1" applyFont="1" applyFill="1" applyBorder="1" applyAlignment="1">
      <alignment horizontal="center" vertical="center" wrapText="1"/>
    </xf>
    <xf numFmtId="0" fontId="3" fillId="16" borderId="45" xfId="1" applyFont="1" applyFill="1" applyBorder="1" applyAlignment="1">
      <alignment horizontal="center" vertical="center" wrapText="1"/>
    </xf>
    <xf numFmtId="0" fontId="0" fillId="14" borderId="41" xfId="0" applyFill="1" applyBorder="1" applyAlignment="1">
      <alignment horizontal="left" vertical="center" wrapText="1"/>
    </xf>
    <xf numFmtId="0" fontId="0" fillId="14" borderId="42" xfId="0" applyFill="1" applyBorder="1" applyAlignment="1">
      <alignment horizontal="left" vertical="center" wrapText="1"/>
    </xf>
    <xf numFmtId="0" fontId="0" fillId="14" borderId="40" xfId="0" applyFill="1" applyBorder="1" applyAlignment="1">
      <alignment horizontal="left" vertical="center" wrapText="1"/>
    </xf>
    <xf numFmtId="0" fontId="0" fillId="15" borderId="41" xfId="0" applyFill="1" applyBorder="1" applyAlignment="1">
      <alignment horizontal="left" vertical="center" wrapText="1"/>
    </xf>
    <xf numFmtId="0" fontId="0" fillId="15" borderId="42" xfId="0" applyFill="1" applyBorder="1" applyAlignment="1">
      <alignment horizontal="left" vertical="center" wrapText="1"/>
    </xf>
    <xf numFmtId="0" fontId="0" fillId="15" borderId="40" xfId="0" applyFill="1" applyBorder="1" applyAlignment="1">
      <alignment horizontal="left" vertical="center" wrapText="1"/>
    </xf>
    <xf numFmtId="0" fontId="0" fillId="14" borderId="45" xfId="0" applyFill="1" applyBorder="1" applyAlignment="1">
      <alignment horizontal="left" vertical="center" wrapText="1"/>
    </xf>
    <xf numFmtId="0" fontId="3" fillId="15" borderId="41" xfId="1" applyFont="1" applyFill="1" applyBorder="1" applyAlignment="1">
      <alignment horizontal="center" vertical="center" wrapText="1"/>
    </xf>
    <xf numFmtId="0" fontId="3" fillId="15" borderId="42" xfId="1" applyFont="1" applyFill="1" applyBorder="1" applyAlignment="1">
      <alignment horizontal="center" vertical="center" wrapText="1"/>
    </xf>
    <xf numFmtId="0" fontId="3" fillId="15" borderId="40" xfId="1" applyFont="1" applyFill="1" applyBorder="1" applyAlignment="1">
      <alignment horizontal="center" vertical="center" wrapText="1"/>
    </xf>
    <xf numFmtId="0" fontId="3" fillId="14" borderId="41" xfId="1" applyFont="1" applyFill="1" applyBorder="1" applyAlignment="1">
      <alignment horizontal="center" vertical="center" wrapText="1"/>
    </xf>
    <xf numFmtId="0" fontId="3" fillId="14" borderId="42" xfId="1" applyFont="1" applyFill="1" applyBorder="1" applyAlignment="1">
      <alignment horizontal="center" vertical="center" wrapText="1"/>
    </xf>
    <xf numFmtId="0" fontId="3" fillId="14" borderId="40" xfId="1" applyFont="1" applyFill="1" applyBorder="1" applyAlignment="1">
      <alignment horizontal="center" vertical="center" wrapText="1"/>
    </xf>
    <xf numFmtId="0" fontId="4" fillId="0" borderId="2" xfId="1" applyFont="1" applyBorder="1" applyAlignment="1">
      <alignment horizontal="center"/>
    </xf>
    <xf numFmtId="0" fontId="2" fillId="0" borderId="2" xfId="1" applyBorder="1" applyAlignment="1">
      <alignment horizontal="left" vertical="center" wrapText="1"/>
    </xf>
    <xf numFmtId="0" fontId="28" fillId="2" borderId="2" xfId="0" applyFont="1" applyFill="1" applyBorder="1" applyAlignment="1">
      <alignment horizontal="center" vertical="center"/>
    </xf>
    <xf numFmtId="0" fontId="0" fillId="0" borderId="2" xfId="0" applyBorder="1" applyAlignment="1">
      <alignment horizontal="center" vertical="center" wrapText="1"/>
    </xf>
    <xf numFmtId="0" fontId="34" fillId="0" borderId="0" xfId="0" applyFont="1" applyAlignment="1">
      <alignment horizontal="left" vertical="center"/>
    </xf>
    <xf numFmtId="0" fontId="2" fillId="0" borderId="2" xfId="1" applyBorder="1" applyAlignment="1">
      <alignment horizontal="left" vertical="center"/>
    </xf>
    <xf numFmtId="0" fontId="15" fillId="2" borderId="88" xfId="0" applyFont="1" applyFill="1" applyBorder="1" applyAlignment="1">
      <alignment horizontal="left" vertical="center" wrapText="1"/>
    </xf>
    <xf numFmtId="0" fontId="15" fillId="2" borderId="89"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92" xfId="0" applyFont="1" applyFill="1" applyBorder="1" applyAlignment="1">
      <alignment horizontal="left" vertical="center" wrapText="1"/>
    </xf>
    <xf numFmtId="0" fontId="15" fillId="2" borderId="93" xfId="0" applyFont="1" applyFill="1" applyBorder="1" applyAlignment="1">
      <alignment horizontal="left" vertical="center" wrapText="1"/>
    </xf>
    <xf numFmtId="0" fontId="21" fillId="0" borderId="36" xfId="0" applyFont="1" applyBorder="1" applyAlignment="1">
      <alignment horizontal="left"/>
    </xf>
    <xf numFmtId="0" fontId="2" fillId="3" borderId="65" xfId="1" applyFill="1" applyBorder="1" applyAlignment="1">
      <alignment horizontal="center" vertical="center" wrapText="1"/>
    </xf>
    <xf numFmtId="0" fontId="2" fillId="3" borderId="66" xfId="1" applyFill="1" applyBorder="1" applyAlignment="1">
      <alignment horizontal="center" vertical="center" wrapText="1"/>
    </xf>
    <xf numFmtId="0" fontId="2" fillId="3" borderId="68" xfId="1" applyFill="1" applyBorder="1" applyAlignment="1">
      <alignment horizontal="center" vertical="center" wrapText="1"/>
    </xf>
    <xf numFmtId="0" fontId="1" fillId="2" borderId="17" xfId="0" applyFont="1" applyFill="1" applyBorder="1" applyAlignment="1">
      <alignment horizontal="center" vertical="center"/>
    </xf>
    <xf numFmtId="0" fontId="3" fillId="18" borderId="65" xfId="0" applyFont="1" applyFill="1" applyBorder="1" applyAlignment="1">
      <alignment horizontal="center" vertical="center"/>
    </xf>
    <xf numFmtId="0" fontId="3" fillId="18" borderId="66" xfId="0" applyFont="1" applyFill="1" applyBorder="1" applyAlignment="1">
      <alignment horizontal="center" vertical="center"/>
    </xf>
    <xf numFmtId="0" fontId="3" fillId="18" borderId="67" xfId="0" applyFont="1" applyFill="1" applyBorder="1" applyAlignment="1">
      <alignment horizontal="center" vertical="center"/>
    </xf>
    <xf numFmtId="0" fontId="3" fillId="18" borderId="68" xfId="0" applyFont="1" applyFill="1" applyBorder="1" applyAlignment="1">
      <alignment horizontal="center" vertical="center"/>
    </xf>
    <xf numFmtId="0" fontId="1" fillId="2" borderId="38" xfId="0" applyFont="1" applyFill="1" applyBorder="1" applyAlignment="1">
      <alignment horizontal="center" vertical="center"/>
    </xf>
    <xf numFmtId="0" fontId="4" fillId="0" borderId="57"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57" xfId="1" applyFont="1" applyBorder="1" applyAlignment="1">
      <alignment horizontal="center" vertical="center"/>
    </xf>
    <xf numFmtId="0" fontId="4" fillId="0" borderId="54" xfId="1" applyFont="1" applyBorder="1" applyAlignment="1">
      <alignment horizontal="center" vertical="center"/>
    </xf>
    <xf numFmtId="0" fontId="4" fillId="0" borderId="58" xfId="1" applyFont="1" applyBorder="1" applyAlignment="1">
      <alignment horizontal="center" vertical="center"/>
    </xf>
    <xf numFmtId="0" fontId="3" fillId="0" borderId="2"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2" fillId="3" borderId="63" xfId="1" applyFill="1" applyBorder="1" applyAlignment="1">
      <alignment horizontal="center" vertical="center" wrapText="1"/>
    </xf>
    <xf numFmtId="0" fontId="2" fillId="3" borderId="50" xfId="1" applyFill="1" applyBorder="1" applyAlignment="1">
      <alignment horizontal="center" vertical="center" wrapText="1"/>
    </xf>
    <xf numFmtId="0" fontId="2" fillId="3" borderId="64" xfId="1" applyFill="1" applyBorder="1" applyAlignment="1">
      <alignment horizontal="center" vertical="center" wrapText="1"/>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2" fillId="0" borderId="15" xfId="1" applyBorder="1" applyAlignment="1">
      <alignment horizontal="center" vertical="center"/>
    </xf>
    <xf numFmtId="0" fontId="2" fillId="0" borderId="26" xfId="1" applyBorder="1" applyAlignment="1">
      <alignment horizontal="center" vertical="center"/>
    </xf>
    <xf numFmtId="0" fontId="2" fillId="0" borderId="16" xfId="1" applyBorder="1" applyAlignment="1">
      <alignment horizontal="center" vertical="center"/>
    </xf>
    <xf numFmtId="0" fontId="21" fillId="0" borderId="36" xfId="0" applyFont="1" applyBorder="1" applyAlignment="1">
      <alignment horizontal="left" vertical="center"/>
    </xf>
    <xf numFmtId="0" fontId="6" fillId="0" borderId="11" xfId="0" applyFont="1" applyBorder="1" applyAlignment="1">
      <alignment horizontal="center"/>
    </xf>
    <xf numFmtId="0" fontId="6" fillId="0" borderId="3" xfId="0" applyFont="1" applyBorder="1" applyAlignment="1">
      <alignment horizontal="center"/>
    </xf>
    <xf numFmtId="0" fontId="6" fillId="0" borderId="50" xfId="0" applyFont="1" applyBorder="1" applyAlignment="1">
      <alignment horizontal="center"/>
    </xf>
    <xf numFmtId="0" fontId="3" fillId="0" borderId="13"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60" xfId="1" applyFont="1" applyBorder="1" applyAlignment="1">
      <alignment horizontal="center" vertical="center" wrapText="1"/>
    </xf>
    <xf numFmtId="0" fontId="0" fillId="0" borderId="54" xfId="0" applyBorder="1" applyAlignment="1">
      <alignment horizontal="center"/>
    </xf>
    <xf numFmtId="0" fontId="2" fillId="0" borderId="65" xfId="1" applyBorder="1" applyAlignment="1">
      <alignment horizontal="center" vertical="center"/>
    </xf>
    <xf numFmtId="0" fontId="2" fillId="0" borderId="66" xfId="1" applyBorder="1" applyAlignment="1">
      <alignment horizontal="center" vertical="center"/>
    </xf>
    <xf numFmtId="0" fontId="2" fillId="0" borderId="67" xfId="1" applyBorder="1" applyAlignment="1">
      <alignment horizontal="center" vertical="center"/>
    </xf>
    <xf numFmtId="0" fontId="2" fillId="0" borderId="68" xfId="1" applyBorder="1" applyAlignment="1">
      <alignment horizontal="center" vertical="center"/>
    </xf>
    <xf numFmtId="0" fontId="3" fillId="0" borderId="57" xfId="1" applyFont="1" applyBorder="1" applyAlignment="1">
      <alignment horizontal="center" vertical="center"/>
    </xf>
    <xf numFmtId="0" fontId="3" fillId="0" borderId="7" xfId="1" applyFont="1" applyBorder="1" applyAlignment="1">
      <alignment horizontal="center" vertical="center"/>
    </xf>
    <xf numFmtId="0" fontId="4" fillId="0" borderId="2" xfId="1" applyFont="1" applyBorder="1" applyAlignment="1">
      <alignment horizontal="center" vertical="center"/>
    </xf>
    <xf numFmtId="0" fontId="4" fillId="0" borderId="61" xfId="1" applyFont="1" applyBorder="1" applyAlignment="1">
      <alignment horizontal="center" vertical="center"/>
    </xf>
    <xf numFmtId="0" fontId="4" fillId="0" borderId="4" xfId="1" applyFont="1" applyBorder="1" applyAlignment="1">
      <alignment horizontal="center" vertical="center"/>
    </xf>
    <xf numFmtId="0" fontId="6" fillId="0" borderId="57" xfId="0" applyFont="1" applyBorder="1" applyAlignment="1">
      <alignment horizontal="center"/>
    </xf>
    <xf numFmtId="0" fontId="6" fillId="0" borderId="7" xfId="0" applyFont="1" applyBorder="1" applyAlignment="1">
      <alignment horizontal="center"/>
    </xf>
    <xf numFmtId="0" fontId="0" fillId="0" borderId="52" xfId="0" applyBorder="1" applyAlignment="1">
      <alignment horizontal="center"/>
    </xf>
    <xf numFmtId="0" fontId="0" fillId="0" borderId="4" xfId="0" applyBorder="1" applyAlignment="1">
      <alignment horizontal="center"/>
    </xf>
    <xf numFmtId="0" fontId="3" fillId="0" borderId="5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7" xfId="1" applyFont="1" applyFill="1" applyBorder="1" applyAlignment="1">
      <alignment horizontal="center" vertical="center" wrapText="1"/>
    </xf>
    <xf numFmtId="0" fontId="3" fillId="0" borderId="54" xfId="1" applyFont="1" applyFill="1" applyBorder="1" applyAlignment="1">
      <alignment horizontal="center" vertical="center" wrapText="1"/>
    </xf>
    <xf numFmtId="0" fontId="3" fillId="0" borderId="58" xfId="1" applyFont="1" applyFill="1" applyBorder="1" applyAlignment="1">
      <alignment horizontal="center" vertical="center" wrapText="1"/>
    </xf>
    <xf numFmtId="0" fontId="3" fillId="0" borderId="14" xfId="0" applyFont="1" applyBorder="1" applyAlignment="1">
      <alignment horizontal="center"/>
    </xf>
    <xf numFmtId="0" fontId="6" fillId="0" borderId="52" xfId="0" applyFont="1" applyBorder="1" applyAlignment="1">
      <alignment horizontal="center"/>
    </xf>
    <xf numFmtId="0" fontId="6" fillId="0" borderId="4" xfId="0" applyFont="1" applyBorder="1" applyAlignment="1">
      <alignment horizontal="center"/>
    </xf>
    <xf numFmtId="0" fontId="0" fillId="0" borderId="41" xfId="0" applyBorder="1" applyAlignment="1">
      <alignment horizontal="left" vertical="center" wrapText="1"/>
    </xf>
    <xf numFmtId="0" fontId="0" fillId="0" borderId="40" xfId="0" applyBorder="1" applyAlignment="1">
      <alignment horizontal="left" vertical="center" wrapText="1"/>
    </xf>
    <xf numFmtId="0" fontId="0" fillId="0" borderId="92" xfId="0" applyBorder="1" applyAlignment="1">
      <alignment horizontal="left" vertical="center" wrapText="1"/>
    </xf>
    <xf numFmtId="0" fontId="0" fillId="0" borderId="88" xfId="0" applyBorder="1" applyAlignment="1">
      <alignment horizontal="left" vertical="center" wrapText="1"/>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6" fillId="0" borderId="16" xfId="0" applyFont="1" applyBorder="1" applyAlignment="1">
      <alignment horizontal="center" vertical="center"/>
    </xf>
    <xf numFmtId="0" fontId="2" fillId="0" borderId="37" xfId="1" applyBorder="1" applyAlignment="1">
      <alignment horizontal="center" vertical="center" wrapText="1"/>
    </xf>
    <xf numFmtId="0" fontId="2" fillId="0" borderId="30" xfId="1" applyBorder="1" applyAlignment="1">
      <alignment horizontal="center" vertical="center" wrapText="1"/>
    </xf>
    <xf numFmtId="0" fontId="2" fillId="0" borderId="26" xfId="1"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2" fillId="3" borderId="65" xfId="12" applyFill="1" applyBorder="1" applyAlignment="1">
      <alignment horizontal="center" vertical="center" wrapText="1"/>
    </xf>
    <xf numFmtId="0" fontId="2" fillId="3" borderId="66" xfId="12" applyFill="1" applyBorder="1" applyAlignment="1">
      <alignment horizontal="center" vertical="center" wrapText="1"/>
    </xf>
    <xf numFmtId="0" fontId="2" fillId="3" borderId="68" xfId="12" applyFill="1" applyBorder="1" applyAlignment="1">
      <alignment horizontal="center" vertical="center" wrapText="1"/>
    </xf>
    <xf numFmtId="0" fontId="3" fillId="3" borderId="10" xfId="1" applyFont="1" applyFill="1" applyBorder="1" applyAlignment="1">
      <alignment horizontal="center"/>
    </xf>
    <xf numFmtId="0" fontId="3" fillId="3" borderId="7" xfId="1" applyFont="1" applyFill="1" applyBorder="1" applyAlignment="1">
      <alignment horizontal="center"/>
    </xf>
    <xf numFmtId="0" fontId="4" fillId="3" borderId="3" xfId="1" applyFont="1" applyFill="1" applyBorder="1" applyAlignment="1">
      <alignment horizontal="center"/>
    </xf>
    <xf numFmtId="0" fontId="4" fillId="3" borderId="2" xfId="1" applyFont="1" applyFill="1" applyBorder="1" applyAlignment="1">
      <alignment horizontal="center"/>
    </xf>
    <xf numFmtId="0" fontId="3" fillId="23" borderId="9" xfId="1" applyFont="1" applyFill="1" applyBorder="1" applyAlignment="1">
      <alignment horizontal="center"/>
    </xf>
    <xf numFmtId="0" fontId="3" fillId="23" borderId="14" xfId="1" applyFont="1" applyFill="1" applyBorder="1" applyAlignment="1">
      <alignment horizontal="center"/>
    </xf>
    <xf numFmtId="0" fontId="0" fillId="0" borderId="37" xfId="0" applyBorder="1" applyAlignment="1">
      <alignment horizontal="center" vertical="center" wrapText="1"/>
    </xf>
    <xf numFmtId="0" fontId="1" fillId="2" borderId="25" xfId="0" applyFont="1" applyFill="1" applyBorder="1" applyAlignment="1">
      <alignment horizontal="center"/>
    </xf>
    <xf numFmtId="0" fontId="1" fillId="2" borderId="62" xfId="0" applyFont="1" applyFill="1" applyBorder="1" applyAlignment="1">
      <alignment horizontal="center"/>
    </xf>
    <xf numFmtId="0" fontId="1" fillId="2" borderId="38" xfId="0" applyFont="1" applyFill="1" applyBorder="1" applyAlignment="1">
      <alignment horizontal="center"/>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2" fillId="0" borderId="65" xfId="1" applyBorder="1" applyAlignment="1">
      <alignment horizontal="center" vertical="center" wrapText="1"/>
    </xf>
    <xf numFmtId="0" fontId="2" fillId="0" borderId="66" xfId="1" applyBorder="1" applyAlignment="1">
      <alignment horizontal="center" vertical="center" wrapText="1"/>
    </xf>
    <xf numFmtId="0" fontId="2" fillId="0" borderId="68" xfId="1" applyBorder="1" applyAlignment="1">
      <alignment horizontal="center" vertical="center" wrapText="1"/>
    </xf>
    <xf numFmtId="0" fontId="1" fillId="2" borderId="47" xfId="0" applyFont="1" applyFill="1" applyBorder="1" applyAlignment="1">
      <alignment horizontal="center"/>
    </xf>
    <xf numFmtId="0" fontId="3" fillId="18" borderId="3" xfId="0" applyFont="1" applyFill="1" applyBorder="1" applyAlignment="1">
      <alignment horizontal="center"/>
    </xf>
    <xf numFmtId="0" fontId="3" fillId="18" borderId="2" xfId="0" applyFont="1" applyFill="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3" fillId="18" borderId="24" xfId="1" applyFont="1" applyFill="1" applyBorder="1" applyAlignment="1">
      <alignment horizontal="center" wrapText="1"/>
    </xf>
    <xf numFmtId="0" fontId="3" fillId="18" borderId="17" xfId="1" applyFont="1" applyFill="1" applyBorder="1" applyAlignment="1">
      <alignment horizontal="center" wrapText="1"/>
    </xf>
    <xf numFmtId="0" fontId="0" fillId="0" borderId="73" xfId="0" applyBorder="1" applyAlignment="1">
      <alignment horizontal="center" vertical="center"/>
    </xf>
    <xf numFmtId="0" fontId="2" fillId="0" borderId="15" xfId="1" applyBorder="1" applyAlignment="1">
      <alignment horizontal="center" vertical="center" wrapText="1"/>
    </xf>
    <xf numFmtId="0" fontId="3" fillId="3" borderId="10" xfId="0" applyFont="1" applyFill="1" applyBorder="1" applyAlignment="1">
      <alignment horizontal="center"/>
    </xf>
    <xf numFmtId="0" fontId="3" fillId="3" borderId="7"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3" fillId="18" borderId="14" xfId="0" applyFont="1" applyFill="1" applyBorder="1" applyAlignment="1">
      <alignment horizontal="center"/>
    </xf>
    <xf numFmtId="0" fontId="6" fillId="18" borderId="9" xfId="0" applyFont="1" applyFill="1" applyBorder="1" applyAlignment="1">
      <alignment horizontal="center"/>
    </xf>
    <xf numFmtId="0" fontId="6" fillId="18" borderId="14" xfId="0" applyFont="1" applyFill="1" applyBorder="1" applyAlignment="1">
      <alignment horizontal="center"/>
    </xf>
    <xf numFmtId="0" fontId="0" fillId="0" borderId="1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 fillId="2" borderId="17" xfId="0" applyFont="1" applyFill="1" applyBorder="1" applyAlignment="1">
      <alignment horizontal="center"/>
    </xf>
    <xf numFmtId="0" fontId="0" fillId="0" borderId="76" xfId="0" applyBorder="1" applyAlignment="1">
      <alignment horizontal="center" vertical="center" wrapText="1"/>
    </xf>
    <xf numFmtId="0" fontId="15" fillId="2" borderId="43" xfId="0" applyFont="1" applyFill="1" applyBorder="1" applyAlignment="1">
      <alignment horizontal="left" vertical="center"/>
    </xf>
    <xf numFmtId="0" fontId="0" fillId="0" borderId="41" xfId="0" applyBorder="1" applyAlignment="1">
      <alignment horizontal="left" vertical="center"/>
    </xf>
    <xf numFmtId="0" fontId="0" fillId="0" borderId="40" xfId="0" applyBorder="1" applyAlignment="1">
      <alignment horizontal="left" vertical="center"/>
    </xf>
    <xf numFmtId="0" fontId="23" fillId="18" borderId="15" xfId="0" applyFont="1" applyFill="1" applyBorder="1" applyAlignment="1">
      <alignment horizontal="center" vertical="center" wrapText="1"/>
    </xf>
    <xf numFmtId="0" fontId="23" fillId="18" borderId="26" xfId="0" applyFont="1" applyFill="1" applyBorder="1" applyAlignment="1">
      <alignment horizontal="center" vertical="center" wrapText="1"/>
    </xf>
    <xf numFmtId="0" fontId="23" fillId="18" borderId="16" xfId="0" applyFont="1" applyFill="1" applyBorder="1" applyAlignment="1">
      <alignment horizontal="center" vertical="center" wrapText="1"/>
    </xf>
    <xf numFmtId="0" fontId="23" fillId="18" borderId="15" xfId="0" applyFont="1" applyFill="1" applyBorder="1" applyAlignment="1">
      <alignment horizontal="center" vertical="center"/>
    </xf>
    <xf numFmtId="0" fontId="23" fillId="18" borderId="26" xfId="0" applyFont="1" applyFill="1" applyBorder="1" applyAlignment="1">
      <alignment horizontal="center" vertical="center"/>
    </xf>
    <xf numFmtId="0" fontId="23" fillId="18" borderId="16" xfId="0" applyFont="1" applyFill="1" applyBorder="1" applyAlignment="1">
      <alignment horizontal="center" vertical="center"/>
    </xf>
    <xf numFmtId="0" fontId="1" fillId="2" borderId="76" xfId="0" applyFont="1" applyFill="1" applyBorder="1" applyAlignment="1">
      <alignment horizontal="center"/>
    </xf>
    <xf numFmtId="0" fontId="2" fillId="0" borderId="32" xfId="1" applyBorder="1" applyAlignment="1">
      <alignment horizontal="center" vertical="center" wrapText="1"/>
    </xf>
    <xf numFmtId="0" fontId="2" fillId="0" borderId="33" xfId="1" applyBorder="1" applyAlignment="1">
      <alignment horizontal="center" vertical="center" wrapText="1"/>
    </xf>
    <xf numFmtId="0" fontId="2" fillId="0" borderId="27" xfId="1" applyBorder="1" applyAlignment="1">
      <alignment horizontal="center" vertical="center" wrapText="1"/>
    </xf>
    <xf numFmtId="0" fontId="2" fillId="0" borderId="34" xfId="1" applyBorder="1" applyAlignment="1">
      <alignment horizontal="center" vertical="center" wrapText="1"/>
    </xf>
    <xf numFmtId="0" fontId="1" fillId="2" borderId="80" xfId="0" applyFont="1" applyFill="1" applyBorder="1" applyAlignment="1">
      <alignment horizontal="center"/>
    </xf>
    <xf numFmtId="0" fontId="1" fillId="2" borderId="80"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83" xfId="0" applyFont="1" applyFill="1" applyBorder="1" applyAlignment="1">
      <alignment horizontal="center"/>
    </xf>
    <xf numFmtId="0" fontId="2" fillId="0" borderId="35" xfId="1" applyBorder="1" applyAlignment="1">
      <alignment horizontal="center" vertical="center" wrapText="1"/>
    </xf>
    <xf numFmtId="0" fontId="2" fillId="0" borderId="0" xfId="1" applyBorder="1" applyAlignment="1">
      <alignment horizontal="center" vertical="center" wrapText="1"/>
    </xf>
    <xf numFmtId="0" fontId="2" fillId="0" borderId="36" xfId="1" applyBorder="1" applyAlignment="1">
      <alignment horizontal="center" vertical="center" wrapText="1"/>
    </xf>
    <xf numFmtId="0" fontId="6" fillId="0" borderId="1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6" xfId="0" applyFont="1" applyBorder="1" applyAlignment="1">
      <alignment horizontal="center" vertical="center" wrapText="1"/>
    </xf>
    <xf numFmtId="0" fontId="21" fillId="0" borderId="134" xfId="0" applyFont="1" applyBorder="1" applyAlignment="1">
      <alignment horizontal="left" wrapText="1"/>
    </xf>
    <xf numFmtId="0" fontId="15" fillId="2" borderId="147" xfId="0" applyFont="1" applyFill="1" applyBorder="1" applyAlignment="1">
      <alignment horizontal="left" vertical="center" wrapText="1"/>
    </xf>
    <xf numFmtId="0" fontId="15" fillId="2" borderId="148" xfId="0" applyFont="1" applyFill="1" applyBorder="1" applyAlignment="1">
      <alignment horizontal="left" vertical="center" wrapText="1"/>
    </xf>
    <xf numFmtId="0" fontId="15" fillId="2" borderId="153" xfId="0" applyFont="1" applyFill="1" applyBorder="1" applyAlignment="1">
      <alignment horizontal="left" vertical="center" wrapText="1"/>
    </xf>
    <xf numFmtId="0" fontId="15" fillId="2" borderId="154" xfId="0" applyFont="1" applyFill="1" applyBorder="1" applyAlignment="1">
      <alignment horizontal="left" vertical="center" wrapText="1"/>
    </xf>
    <xf numFmtId="0" fontId="0" fillId="0" borderId="156" xfId="0" applyBorder="1" applyAlignment="1">
      <alignment horizontal="left" vertical="center" wrapText="1"/>
    </xf>
    <xf numFmtId="0" fontId="0" fillId="0" borderId="157" xfId="0" applyBorder="1" applyAlignment="1">
      <alignment horizontal="left" vertical="center" wrapText="1"/>
    </xf>
    <xf numFmtId="0" fontId="43" fillId="3" borderId="6" xfId="0" applyFont="1" applyFill="1" applyBorder="1" applyAlignment="1">
      <alignment horizontal="center"/>
    </xf>
    <xf numFmtId="0" fontId="43" fillId="3" borderId="3" xfId="0" applyFont="1" applyFill="1" applyBorder="1" applyAlignment="1">
      <alignment horizontal="center"/>
    </xf>
    <xf numFmtId="0" fontId="43" fillId="18" borderId="6" xfId="0" applyFont="1" applyFill="1" applyBorder="1" applyAlignment="1">
      <alignment horizontal="center"/>
    </xf>
    <xf numFmtId="0" fontId="43" fillId="18" borderId="3" xfId="0" applyFont="1" applyFill="1" applyBorder="1" applyAlignment="1">
      <alignment horizontal="center"/>
    </xf>
    <xf numFmtId="0" fontId="42" fillId="3" borderId="56" xfId="0" applyFont="1" applyFill="1" applyBorder="1" applyAlignment="1">
      <alignment horizontal="center"/>
    </xf>
    <xf numFmtId="0" fontId="42" fillId="3" borderId="10" xfId="0" applyFont="1" applyFill="1" applyBorder="1" applyAlignment="1">
      <alignment horizontal="center"/>
    </xf>
    <xf numFmtId="0" fontId="42" fillId="3" borderId="6" xfId="0" applyFont="1" applyFill="1" applyBorder="1" applyAlignment="1">
      <alignment horizontal="center"/>
    </xf>
    <xf numFmtId="0" fontId="42" fillId="3" borderId="3" xfId="0" applyFont="1" applyFill="1" applyBorder="1" applyAlignment="1">
      <alignment horizontal="center"/>
    </xf>
    <xf numFmtId="0" fontId="2" fillId="0" borderId="7" xfId="1" applyBorder="1" applyAlignment="1">
      <alignment horizontal="center" vertical="center"/>
    </xf>
    <xf numFmtId="0" fontId="2" fillId="0" borderId="2" xfId="1" applyBorder="1" applyAlignment="1">
      <alignment horizontal="center" vertical="center"/>
    </xf>
    <xf numFmtId="0" fontId="2" fillId="0" borderId="90" xfId="1" applyBorder="1" applyAlignment="1">
      <alignment horizontal="center" vertical="center"/>
    </xf>
    <xf numFmtId="0" fontId="2" fillId="0" borderId="5" xfId="1" applyBorder="1" applyAlignment="1">
      <alignment horizontal="center" vertical="center"/>
    </xf>
    <xf numFmtId="0" fontId="2" fillId="0" borderId="5" xfId="1" applyBorder="1" applyAlignment="1">
      <alignment horizontal="center" vertical="center" wrapText="1"/>
    </xf>
    <xf numFmtId="0" fontId="42" fillId="3" borderId="4" xfId="0" applyFont="1" applyFill="1" applyBorder="1" applyAlignment="1">
      <alignment horizontal="center"/>
    </xf>
    <xf numFmtId="0" fontId="43" fillId="3" borderId="2" xfId="0" applyFont="1" applyFill="1" applyBorder="1" applyAlignment="1">
      <alignment horizontal="center"/>
    </xf>
    <xf numFmtId="0" fontId="43" fillId="18" borderId="2" xfId="0" applyFont="1" applyFill="1" applyBorder="1" applyAlignment="1">
      <alignment horizontal="center"/>
    </xf>
    <xf numFmtId="0" fontId="42" fillId="3" borderId="2" xfId="0" applyFont="1" applyFill="1" applyBorder="1" applyAlignment="1">
      <alignment horizontal="center"/>
    </xf>
    <xf numFmtId="0" fontId="29" fillId="0" borderId="36" xfId="0" applyFont="1" applyBorder="1" applyAlignment="1">
      <alignment horizontal="left"/>
    </xf>
    <xf numFmtId="0" fontId="15" fillId="17" borderId="76" xfId="0" applyFont="1" applyFill="1" applyBorder="1" applyAlignment="1">
      <alignment horizontal="center"/>
    </xf>
    <xf numFmtId="0" fontId="15" fillId="17" borderId="0" xfId="0" applyFont="1" applyFill="1" applyAlignment="1">
      <alignment horizontal="center"/>
    </xf>
    <xf numFmtId="0" fontId="8" fillId="3" borderId="57" xfId="0" applyFont="1" applyFill="1" applyBorder="1" applyAlignment="1">
      <alignment horizontal="center"/>
    </xf>
    <xf numFmtId="0" fontId="8" fillId="3" borderId="56" xfId="0" applyFont="1" applyFill="1" applyBorder="1" applyAlignment="1">
      <alignment horizontal="center"/>
    </xf>
    <xf numFmtId="0" fontId="10" fillId="3" borderId="11" xfId="0" applyFont="1" applyFill="1" applyBorder="1" applyAlignment="1">
      <alignment horizontal="center"/>
    </xf>
    <xf numFmtId="0" fontId="10" fillId="3" borderId="3" xfId="0" applyFont="1" applyFill="1" applyBorder="1" applyAlignment="1">
      <alignment horizontal="center"/>
    </xf>
    <xf numFmtId="0" fontId="10" fillId="3" borderId="54" xfId="0" applyFont="1" applyFill="1" applyBorder="1" applyAlignment="1">
      <alignment horizontal="center"/>
    </xf>
    <xf numFmtId="0" fontId="10" fillId="3" borderId="6" xfId="0" applyFont="1" applyFill="1" applyBorder="1" applyAlignment="1">
      <alignment horizontal="center"/>
    </xf>
    <xf numFmtId="0" fontId="40" fillId="18" borderId="58" xfId="0" applyFont="1" applyFill="1" applyBorder="1" applyAlignment="1">
      <alignment horizontal="center"/>
    </xf>
    <xf numFmtId="0" fontId="40" fillId="18" borderId="55" xfId="0" applyFont="1" applyFill="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23" fillId="0" borderId="1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6" xfId="0" applyFont="1" applyBorder="1" applyAlignment="1">
      <alignment horizontal="center" vertical="center" wrapText="1"/>
    </xf>
    <xf numFmtId="0" fontId="15" fillId="17" borderId="80" xfId="0" applyFont="1" applyFill="1" applyBorder="1" applyAlignment="1">
      <alignment horizontal="center"/>
    </xf>
    <xf numFmtId="0" fontId="22" fillId="0" borderId="15" xfId="0" applyFont="1" applyBorder="1" applyAlignment="1">
      <alignment horizontal="center" vertical="center"/>
    </xf>
    <xf numFmtId="0" fontId="22" fillId="0" borderId="26" xfId="0" applyFont="1" applyBorder="1" applyAlignment="1">
      <alignment horizontal="center" vertical="center"/>
    </xf>
    <xf numFmtId="0" fontId="22" fillId="0" borderId="16" xfId="0" applyFont="1" applyBorder="1" applyAlignment="1">
      <alignment horizontal="center" vertical="center"/>
    </xf>
    <xf numFmtId="0" fontId="40" fillId="18" borderId="26" xfId="0" applyFont="1" applyFill="1" applyBorder="1" applyAlignment="1">
      <alignment horizontal="center" vertical="center"/>
    </xf>
    <xf numFmtId="0" fontId="15" fillId="17" borderId="24" xfId="0" applyFont="1" applyFill="1" applyBorder="1" applyAlignment="1">
      <alignment horizontal="center"/>
    </xf>
    <xf numFmtId="0" fontId="15" fillId="17" borderId="47" xfId="0" applyFont="1" applyFill="1" applyBorder="1" applyAlignment="1">
      <alignment horizontal="center"/>
    </xf>
    <xf numFmtId="0" fontId="2" fillId="0" borderId="77" xfId="1" applyBorder="1" applyAlignment="1">
      <alignment horizontal="center" vertical="center" wrapText="1"/>
    </xf>
    <xf numFmtId="0" fontId="2" fillId="0" borderId="67" xfId="1" applyBorder="1" applyAlignment="1">
      <alignment horizontal="center" vertical="center" wrapText="1"/>
    </xf>
    <xf numFmtId="0" fontId="8" fillId="3" borderId="61" xfId="0" applyFont="1" applyFill="1" applyBorder="1" applyAlignment="1">
      <alignment horizontal="center"/>
    </xf>
    <xf numFmtId="0" fontId="8" fillId="3" borderId="72" xfId="0" applyFont="1" applyFill="1" applyBorder="1" applyAlignment="1">
      <alignment horizontal="center"/>
    </xf>
    <xf numFmtId="0" fontId="40" fillId="18" borderId="53" xfId="0" applyFont="1" applyFill="1" applyBorder="1" applyAlignment="1">
      <alignment horizontal="center"/>
    </xf>
    <xf numFmtId="0" fontId="40" fillId="18" borderId="71" xfId="0" applyFont="1" applyFill="1" applyBorder="1" applyAlignment="1">
      <alignment horizontal="center"/>
    </xf>
    <xf numFmtId="0" fontId="15" fillId="17" borderId="35" xfId="0" applyFont="1" applyFill="1" applyBorder="1" applyAlignment="1">
      <alignment horizontal="center"/>
    </xf>
    <xf numFmtId="0" fontId="8" fillId="3" borderId="2" xfId="0" applyFont="1" applyFill="1" applyBorder="1" applyAlignment="1">
      <alignment horizontal="center"/>
    </xf>
    <xf numFmtId="0" fontId="40" fillId="18" borderId="6" xfId="0" applyFont="1" applyFill="1" applyBorder="1" applyAlignment="1">
      <alignment horizontal="center"/>
    </xf>
    <xf numFmtId="0" fontId="40" fillId="18" borderId="3" xfId="0" applyFont="1" applyFill="1" applyBorder="1" applyAlignment="1">
      <alignment horizontal="center"/>
    </xf>
    <xf numFmtId="0" fontId="15" fillId="17" borderId="38" xfId="0" applyFont="1" applyFill="1" applyBorder="1" applyAlignment="1">
      <alignment horizontal="center"/>
    </xf>
    <xf numFmtId="0" fontId="40" fillId="0" borderId="57" xfId="0" applyFont="1" applyBorder="1" applyAlignment="1">
      <alignment horizontal="center" vertical="center"/>
    </xf>
    <xf numFmtId="0" fontId="40" fillId="0" borderId="54" xfId="0" applyFont="1" applyBorder="1" applyAlignment="1">
      <alignment horizontal="center" vertical="center"/>
    </xf>
    <xf numFmtId="0" fontId="40" fillId="0" borderId="58" xfId="0" applyFont="1" applyBorder="1" applyAlignment="1">
      <alignment horizontal="center" vertical="center"/>
    </xf>
    <xf numFmtId="0" fontId="40" fillId="18" borderId="13" xfId="0" applyFont="1" applyFill="1" applyBorder="1" applyAlignment="1">
      <alignment horizontal="center" vertical="center"/>
    </xf>
    <xf numFmtId="0" fontId="40" fillId="18" borderId="59" xfId="0" applyFont="1" applyFill="1" applyBorder="1" applyAlignment="1">
      <alignment horizontal="center" vertical="center"/>
    </xf>
    <xf numFmtId="0" fontId="40" fillId="18" borderId="60" xfId="0" applyFont="1" applyFill="1" applyBorder="1" applyAlignment="1">
      <alignment horizontal="center" vertical="center"/>
    </xf>
    <xf numFmtId="0" fontId="10" fillId="3" borderId="2" xfId="0" applyFont="1" applyFill="1" applyBorder="1" applyAlignment="1">
      <alignment horizontal="center"/>
    </xf>
    <xf numFmtId="0" fontId="40" fillId="18" borderId="2" xfId="0" applyFont="1" applyFill="1" applyBorder="1" applyAlignment="1">
      <alignment horizontal="center"/>
    </xf>
    <xf numFmtId="0" fontId="2" fillId="0" borderId="85" xfId="1" applyBorder="1" applyAlignment="1">
      <alignment horizontal="center" vertical="center" wrapText="1"/>
    </xf>
    <xf numFmtId="0" fontId="2" fillId="0" borderId="11" xfId="1" applyBorder="1" applyAlignment="1">
      <alignment horizontal="center" vertical="center" wrapText="1"/>
    </xf>
    <xf numFmtId="0" fontId="2" fillId="0" borderId="31" xfId="1" applyBorder="1" applyAlignment="1">
      <alignment horizontal="center" vertical="center" wrapText="1"/>
    </xf>
    <xf numFmtId="0" fontId="0" fillId="0" borderId="132" xfId="0" applyBorder="1" applyAlignment="1">
      <alignment vertical="center" wrapText="1"/>
    </xf>
    <xf numFmtId="0" fontId="0" fillId="0" borderId="133" xfId="0" applyBorder="1" applyAlignment="1">
      <alignment vertical="center" wrapText="1"/>
    </xf>
    <xf numFmtId="0" fontId="15" fillId="2" borderId="99" xfId="0" applyFont="1" applyFill="1" applyBorder="1" applyAlignment="1">
      <alignment horizontal="left" vertical="center" wrapText="1"/>
    </xf>
    <xf numFmtId="0" fontId="15" fillId="2" borderId="100" xfId="0" applyFont="1" applyFill="1" applyBorder="1" applyAlignment="1">
      <alignment horizontal="left" vertical="center" wrapText="1"/>
    </xf>
    <xf numFmtId="0" fontId="15" fillId="2" borderId="135" xfId="0" applyFont="1" applyFill="1" applyBorder="1" applyAlignment="1">
      <alignment horizontal="left" vertical="center" wrapText="1"/>
    </xf>
    <xf numFmtId="0" fontId="15" fillId="2" borderId="136" xfId="0" applyFont="1" applyFill="1" applyBorder="1" applyAlignment="1">
      <alignment horizontal="left"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3" fillId="18" borderId="124" xfId="0" applyFont="1" applyFill="1" applyBorder="1" applyAlignment="1">
      <alignment horizontal="center" vertical="center" wrapText="1"/>
    </xf>
    <xf numFmtId="0" fontId="3" fillId="18" borderId="8" xfId="0" applyFont="1" applyFill="1" applyBorder="1" applyAlignment="1">
      <alignment horizontal="center" vertical="center" wrapText="1"/>
    </xf>
    <xf numFmtId="0" fontId="3" fillId="18" borderId="2" xfId="0" applyFont="1" applyFill="1" applyBorder="1" applyAlignment="1">
      <alignment horizontal="center" wrapText="1"/>
    </xf>
    <xf numFmtId="0" fontId="2" fillId="0" borderId="166" xfId="1" applyBorder="1" applyAlignment="1">
      <alignment horizontal="center" vertical="center" wrapText="1"/>
    </xf>
    <xf numFmtId="0" fontId="2" fillId="0" borderId="73" xfId="1" applyBorder="1" applyAlignment="1">
      <alignment horizontal="center" vertical="center" wrapText="1"/>
    </xf>
    <xf numFmtId="0" fontId="28" fillId="17" borderId="0" xfId="0" applyFont="1" applyFill="1" applyAlignment="1">
      <alignment horizontal="center" vertical="center" wrapText="1"/>
    </xf>
    <xf numFmtId="0" fontId="2" fillId="0" borderId="167" xfId="1" applyBorder="1" applyAlignment="1">
      <alignment horizontal="center" vertical="center" wrapText="1"/>
    </xf>
    <xf numFmtId="0" fontId="2" fillId="0" borderId="50" xfId="1" applyBorder="1" applyAlignment="1">
      <alignment horizontal="center" vertical="center" wrapText="1"/>
    </xf>
    <xf numFmtId="0" fontId="6" fillId="0" borderId="12"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lignment horizontal="center" wrapText="1"/>
    </xf>
    <xf numFmtId="0" fontId="0" fillId="0" borderId="3" xfId="0" applyBorder="1" applyAlignment="1">
      <alignment horizontal="center" wrapText="1"/>
    </xf>
    <xf numFmtId="0" fontId="3" fillId="18" borderId="11" xfId="0" applyFont="1" applyFill="1" applyBorder="1" applyAlignment="1">
      <alignment horizontal="center" wrapText="1"/>
    </xf>
    <xf numFmtId="0" fontId="3" fillId="18" borderId="3" xfId="0" applyFont="1" applyFill="1" applyBorder="1" applyAlignment="1">
      <alignment horizontal="center" wrapText="1"/>
    </xf>
    <xf numFmtId="0" fontId="3" fillId="18" borderId="84" xfId="0" applyFont="1" applyFill="1" applyBorder="1" applyAlignment="1">
      <alignment horizontal="center" wrapText="1"/>
    </xf>
    <xf numFmtId="0" fontId="3" fillId="18" borderId="9" xfId="0" applyFont="1" applyFill="1" applyBorder="1" applyAlignment="1">
      <alignment horizontal="center" wrapText="1"/>
    </xf>
    <xf numFmtId="0" fontId="3" fillId="18" borderId="58" xfId="0" applyFont="1" applyFill="1" applyBorder="1" applyAlignment="1">
      <alignment horizontal="center" wrapText="1"/>
    </xf>
    <xf numFmtId="0" fontId="3" fillId="18" borderId="14" xfId="0" applyFont="1" applyFill="1" applyBorder="1" applyAlignment="1">
      <alignment horizontal="center" wrapText="1"/>
    </xf>
    <xf numFmtId="0" fontId="3" fillId="18" borderId="31" xfId="0" applyFont="1" applyFill="1" applyBorder="1" applyAlignment="1">
      <alignment horizontal="center" wrapText="1"/>
    </xf>
    <xf numFmtId="0" fontId="3" fillId="18" borderId="8" xfId="0" applyFont="1" applyFill="1" applyBorder="1" applyAlignment="1">
      <alignment horizontal="center" wrapText="1"/>
    </xf>
    <xf numFmtId="0" fontId="6" fillId="18" borderId="2" xfId="0" applyFont="1" applyFill="1" applyBorder="1" applyAlignment="1">
      <alignment horizontal="center" vertical="center" wrapText="1"/>
    </xf>
    <xf numFmtId="0" fontId="21" fillId="0" borderId="36" xfId="0" applyFont="1" applyBorder="1" applyAlignment="1">
      <alignment horizontal="left" wrapText="1"/>
    </xf>
    <xf numFmtId="0" fontId="21" fillId="0" borderId="0" xfId="0" applyFont="1" applyAlignment="1">
      <alignment horizontal="left" wrapText="1"/>
    </xf>
    <xf numFmtId="0" fontId="28" fillId="17" borderId="37" xfId="0" applyFont="1" applyFill="1" applyBorder="1" applyAlignment="1">
      <alignment horizontal="center" vertical="center" wrapText="1"/>
    </xf>
    <xf numFmtId="0" fontId="28" fillId="17" borderId="36" xfId="0" applyFont="1" applyFill="1" applyBorder="1" applyAlignment="1">
      <alignment horizontal="center" vertical="center" wrapText="1"/>
    </xf>
    <xf numFmtId="0" fontId="28" fillId="17" borderId="144" xfId="0" applyFont="1" applyFill="1" applyBorder="1" applyAlignment="1">
      <alignment horizontal="center" wrapText="1"/>
    </xf>
    <xf numFmtId="0" fontId="28" fillId="17" borderId="127" xfId="0" applyFont="1" applyFill="1" applyBorder="1" applyAlignment="1">
      <alignment horizontal="center" wrapText="1"/>
    </xf>
    <xf numFmtId="0" fontId="2" fillId="0" borderId="15" xfId="1" applyFill="1" applyBorder="1" applyAlignment="1">
      <alignment horizontal="center" vertical="center" wrapText="1"/>
    </xf>
    <xf numFmtId="0" fontId="2" fillId="0" borderId="26" xfId="1" applyFill="1" applyBorder="1" applyAlignment="1">
      <alignment horizontal="center" vertical="center" wrapText="1"/>
    </xf>
    <xf numFmtId="0" fontId="2" fillId="0" borderId="16" xfId="1" applyFill="1" applyBorder="1" applyAlignment="1">
      <alignment horizontal="center" vertical="center" wrapText="1"/>
    </xf>
    <xf numFmtId="0" fontId="2" fillId="0" borderId="16" xfId="1" applyBorder="1" applyAlignment="1">
      <alignment horizontal="center" vertical="center" wrapText="1"/>
    </xf>
    <xf numFmtId="0" fontId="28" fillId="17" borderId="130" xfId="0" applyFont="1" applyFill="1" applyBorder="1" applyAlignment="1">
      <alignment horizontal="center" vertical="center" wrapText="1"/>
    </xf>
    <xf numFmtId="0" fontId="28" fillId="17" borderId="127" xfId="0" applyFont="1" applyFill="1" applyBorder="1" applyAlignment="1">
      <alignment horizontal="center" vertical="center" wrapText="1"/>
    </xf>
    <xf numFmtId="0" fontId="6" fillId="0" borderId="57" xfId="0" applyFont="1" applyBorder="1" applyAlignment="1">
      <alignment horizontal="center" wrapText="1"/>
    </xf>
    <xf numFmtId="0" fontId="6" fillId="0" borderId="7" xfId="0" applyFont="1" applyBorder="1" applyAlignment="1">
      <alignment horizontal="center" wrapText="1"/>
    </xf>
    <xf numFmtId="0" fontId="0" fillId="0" borderId="54" xfId="0" applyBorder="1" applyAlignment="1">
      <alignment horizontal="center" wrapText="1"/>
    </xf>
    <xf numFmtId="0" fontId="0" fillId="0" borderId="2" xfId="0" applyBorder="1" applyAlignment="1">
      <alignment horizontal="center" wrapText="1"/>
    </xf>
    <xf numFmtId="0" fontId="3" fillId="18" borderId="54" xfId="0" applyFont="1" applyFill="1" applyBorder="1" applyAlignment="1">
      <alignment horizontal="center" wrapText="1"/>
    </xf>
    <xf numFmtId="0" fontId="6" fillId="0" borderId="54" xfId="0" applyFont="1" applyBorder="1" applyAlignment="1">
      <alignment horizontal="center" wrapText="1"/>
    </xf>
    <xf numFmtId="0" fontId="6" fillId="0" borderId="2" xfId="0" applyFont="1" applyBorder="1" applyAlignment="1">
      <alignment horizontal="center" wrapText="1"/>
    </xf>
    <xf numFmtId="0" fontId="6" fillId="18" borderId="53" xfId="0" applyFont="1" applyFill="1" applyBorder="1" applyAlignment="1">
      <alignment horizontal="center" wrapText="1"/>
    </xf>
    <xf numFmtId="0" fontId="6" fillId="18" borderId="1" xfId="0" applyFont="1" applyFill="1" applyBorder="1" applyAlignment="1">
      <alignment horizontal="center" wrapText="1"/>
    </xf>
    <xf numFmtId="0" fontId="28" fillId="17" borderId="35" xfId="0" applyFont="1" applyFill="1" applyBorder="1" applyAlignment="1">
      <alignment horizontal="center" vertical="center" wrapText="1"/>
    </xf>
    <xf numFmtId="0" fontId="2" fillId="0" borderId="127" xfId="1" applyBorder="1" applyAlignment="1">
      <alignment horizontal="center" vertical="center" wrapText="1"/>
    </xf>
    <xf numFmtId="0" fontId="28" fillId="17" borderId="119" xfId="0" applyFont="1" applyFill="1" applyBorder="1" applyAlignment="1">
      <alignment horizontal="center" wrapText="1"/>
    </xf>
    <xf numFmtId="0" fontId="28" fillId="17" borderId="120" xfId="0" applyFont="1" applyFill="1" applyBorder="1" applyAlignment="1">
      <alignment horizontal="center" wrapText="1"/>
    </xf>
    <xf numFmtId="0" fontId="2" fillId="0" borderId="61" xfId="1" applyBorder="1" applyAlignment="1">
      <alignment horizontal="center" vertical="center" wrapText="1"/>
    </xf>
    <xf numFmtId="0" fontId="2" fillId="0" borderId="54" xfId="1" applyBorder="1" applyAlignment="1">
      <alignment horizontal="center" vertical="center" wrapText="1"/>
    </xf>
    <xf numFmtId="0" fontId="2" fillId="0" borderId="53" xfId="1" applyBorder="1" applyAlignment="1">
      <alignment horizontal="center" vertical="center" wrapText="1"/>
    </xf>
    <xf numFmtId="0" fontId="6" fillId="18" borderId="6" xfId="0" applyFont="1" applyFill="1" applyBorder="1" applyAlignment="1">
      <alignment horizontal="center" vertical="center" wrapText="1"/>
    </xf>
    <xf numFmtId="0" fontId="6" fillId="18" borderId="35" xfId="0" applyFont="1" applyFill="1" applyBorder="1" applyAlignment="1">
      <alignment horizontal="center" vertical="center" wrapText="1"/>
    </xf>
    <xf numFmtId="0" fontId="6" fillId="18" borderId="0" xfId="0" applyFont="1" applyFill="1" applyAlignment="1">
      <alignment horizontal="center" vertical="center" wrapText="1"/>
    </xf>
    <xf numFmtId="0" fontId="28" fillId="17" borderId="90" xfId="0" applyFont="1" applyFill="1" applyBorder="1" applyAlignment="1">
      <alignment horizontal="center" vertical="center" wrapText="1"/>
    </xf>
    <xf numFmtId="0" fontId="28" fillId="17" borderId="126" xfId="0" applyFont="1" applyFill="1" applyBorder="1" applyAlignment="1">
      <alignment horizontal="center" wrapText="1"/>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2" xfId="0" applyFont="1" applyBorder="1" applyAlignment="1">
      <alignment horizontal="center" vertical="center" wrapText="1"/>
    </xf>
    <xf numFmtId="0" fontId="0" fillId="0" borderId="137" xfId="0" applyBorder="1" applyAlignment="1">
      <alignment horizontal="center" vertical="center" wrapText="1"/>
    </xf>
    <xf numFmtId="0" fontId="0" fillId="0" borderId="52" xfId="0" applyBorder="1" applyAlignment="1">
      <alignment horizontal="center" vertical="center" wrapText="1"/>
    </xf>
    <xf numFmtId="0" fontId="0" fillId="0" borderId="104" xfId="0" applyBorder="1" applyAlignment="1">
      <alignment horizontal="center" vertical="center" wrapText="1"/>
    </xf>
    <xf numFmtId="0" fontId="0" fillId="0" borderId="3" xfId="0" applyBorder="1" applyAlignment="1">
      <alignment horizontal="center" vertical="center" wrapText="1"/>
    </xf>
    <xf numFmtId="0" fontId="2" fillId="0" borderId="168" xfId="1" applyBorder="1" applyAlignment="1">
      <alignment horizontal="center" vertical="center" wrapText="1"/>
    </xf>
    <xf numFmtId="0" fontId="2" fillId="0" borderId="169" xfId="1" applyBorder="1" applyAlignment="1">
      <alignment horizontal="center" vertical="center" wrapText="1"/>
    </xf>
    <xf numFmtId="0" fontId="2" fillId="0" borderId="170" xfId="1" applyBorder="1" applyAlignment="1">
      <alignment horizontal="center" vertical="center" wrapText="1"/>
    </xf>
    <xf numFmtId="0" fontId="6" fillId="0" borderId="49" xfId="0" applyFont="1" applyBorder="1" applyAlignment="1">
      <alignment horizontal="center" wrapText="1"/>
    </xf>
    <xf numFmtId="0" fontId="0" fillId="0" borderId="50" xfId="0" applyBorder="1" applyAlignment="1">
      <alignment horizontal="center" wrapText="1"/>
    </xf>
    <xf numFmtId="0" fontId="3" fillId="18" borderId="64" xfId="0" applyFont="1" applyFill="1" applyBorder="1" applyAlignment="1">
      <alignment horizontal="center" wrapText="1"/>
    </xf>
    <xf numFmtId="0" fontId="28" fillId="17" borderId="30" xfId="0" applyFont="1" applyFill="1" applyBorder="1" applyAlignment="1">
      <alignment horizontal="center" vertical="center" wrapText="1"/>
    </xf>
    <xf numFmtId="0" fontId="0" fillId="0" borderId="63" xfId="0" applyBorder="1" applyAlignment="1">
      <alignment horizontal="center" wrapText="1"/>
    </xf>
    <xf numFmtId="0" fontId="0" fillId="0" borderId="52" xfId="0" applyBorder="1" applyAlignment="1">
      <alignment horizontal="center" wrapText="1"/>
    </xf>
    <xf numFmtId="0" fontId="6" fillId="18" borderId="36" xfId="0" applyFont="1" applyFill="1" applyBorder="1" applyAlignment="1">
      <alignment horizontal="center" wrapText="1"/>
    </xf>
    <xf numFmtId="0" fontId="6" fillId="18" borderId="79" xfId="0" applyFont="1" applyFill="1" applyBorder="1" applyAlignment="1">
      <alignment horizontal="center" wrapText="1"/>
    </xf>
    <xf numFmtId="0" fontId="30" fillId="0" borderId="73" xfId="0" applyFont="1" applyBorder="1" applyAlignment="1">
      <alignment horizontal="center" vertical="center" wrapText="1" readingOrder="1"/>
    </xf>
    <xf numFmtId="0" fontId="30" fillId="0" borderId="79" xfId="0" applyFont="1" applyBorder="1" applyAlignment="1">
      <alignment horizontal="center" vertical="center" wrapText="1" readingOrder="1"/>
    </xf>
    <xf numFmtId="0" fontId="2" fillId="0" borderId="108" xfId="1" applyBorder="1" applyAlignment="1">
      <alignment horizontal="center" vertical="center" wrapText="1"/>
    </xf>
    <xf numFmtId="0" fontId="2" fillId="0" borderId="109" xfId="1" applyBorder="1" applyAlignment="1">
      <alignment horizontal="center" vertical="center" wrapText="1"/>
    </xf>
    <xf numFmtId="0" fontId="30" fillId="0" borderId="78" xfId="0" applyFont="1" applyBorder="1" applyAlignment="1">
      <alignment horizontal="center" vertical="center" wrapText="1" readingOrder="1"/>
    </xf>
    <xf numFmtId="0" fontId="6" fillId="18" borderId="15" xfId="0" applyFont="1" applyFill="1" applyBorder="1" applyAlignment="1">
      <alignment horizontal="center" vertical="center" wrapText="1"/>
    </xf>
    <xf numFmtId="0" fontId="6" fillId="18" borderId="26"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2" fillId="0" borderId="110" xfId="1" applyBorder="1" applyAlignment="1">
      <alignment horizontal="center" vertical="center" wrapText="1"/>
    </xf>
    <xf numFmtId="0" fontId="6" fillId="0" borderId="1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6" xfId="0" applyFont="1" applyBorder="1" applyAlignment="1">
      <alignment horizontal="center" vertical="center" wrapText="1"/>
    </xf>
    <xf numFmtId="0" fontId="0" fillId="18" borderId="112" xfId="0" applyFill="1" applyBorder="1" applyAlignment="1">
      <alignment horizontal="center" vertical="center" wrapText="1"/>
    </xf>
    <xf numFmtId="0" fontId="0" fillId="18" borderId="113" xfId="0" applyFill="1" applyBorder="1" applyAlignment="1">
      <alignment horizontal="center" vertical="center" wrapText="1"/>
    </xf>
    <xf numFmtId="0" fontId="0" fillId="0" borderId="63" xfId="0" applyBorder="1" applyAlignment="1">
      <alignment horizontal="center" vertical="center" wrapText="1"/>
    </xf>
    <xf numFmtId="0" fontId="0" fillId="0" borderId="50" xfId="0" applyBorder="1" applyAlignment="1">
      <alignment horizontal="center" vertical="center" wrapText="1"/>
    </xf>
    <xf numFmtId="0" fontId="0" fillId="18" borderId="50" xfId="0" applyFill="1" applyBorder="1" applyAlignment="1">
      <alignment horizontal="center" vertical="center" wrapText="1"/>
    </xf>
    <xf numFmtId="0" fontId="0" fillId="18" borderId="3" xfId="0" applyFill="1" applyBorder="1" applyAlignment="1">
      <alignment horizontal="center" vertical="center" wrapText="1"/>
    </xf>
    <xf numFmtId="0" fontId="3" fillId="18" borderId="51" xfId="0" applyFont="1" applyFill="1" applyBorder="1" applyAlignment="1">
      <alignment horizontal="center" vertical="center" wrapText="1"/>
    </xf>
    <xf numFmtId="0" fontId="3" fillId="18" borderId="9" xfId="0" applyFont="1" applyFill="1" applyBorder="1" applyAlignment="1">
      <alignment horizontal="center" vertical="center" wrapText="1"/>
    </xf>
    <xf numFmtId="0" fontId="6" fillId="0" borderId="63" xfId="0" applyFont="1" applyBorder="1" applyAlignment="1">
      <alignment horizontal="center" wrapText="1"/>
    </xf>
    <xf numFmtId="0" fontId="6" fillId="0" borderId="52" xfId="0" applyFont="1" applyBorder="1" applyAlignment="1">
      <alignment horizontal="center" wrapText="1"/>
    </xf>
    <xf numFmtId="0" fontId="30" fillId="0" borderId="35" xfId="0" applyFont="1" applyBorder="1" applyAlignment="1">
      <alignment horizontal="center" vertical="center" wrapText="1" readingOrder="1"/>
    </xf>
    <xf numFmtId="0" fontId="30" fillId="0" borderId="0" xfId="0" applyFont="1" applyAlignment="1">
      <alignment horizontal="center" vertical="center" wrapText="1" readingOrder="1"/>
    </xf>
    <xf numFmtId="0" fontId="30" fillId="0" borderId="36" xfId="0" applyFont="1" applyBorder="1" applyAlignment="1">
      <alignment horizontal="center" vertical="center" wrapText="1" readingOrder="1"/>
    </xf>
    <xf numFmtId="0" fontId="37" fillId="18" borderId="35" xfId="0" applyFont="1" applyFill="1" applyBorder="1" applyAlignment="1">
      <alignment horizontal="center" vertical="center" wrapText="1" readingOrder="1"/>
    </xf>
    <xf numFmtId="0" fontId="37" fillId="18" borderId="0" xfId="0" applyFont="1" applyFill="1" applyAlignment="1">
      <alignment horizontal="center" vertical="center" wrapText="1" readingOrder="1"/>
    </xf>
    <xf numFmtId="0" fontId="0" fillId="0" borderId="85" xfId="0" applyBorder="1" applyAlignment="1">
      <alignment horizontal="center" wrapText="1"/>
    </xf>
    <xf numFmtId="0" fontId="6" fillId="18" borderId="27" xfId="0" applyFont="1" applyFill="1" applyBorder="1" applyAlignment="1">
      <alignment horizontal="center" wrapText="1"/>
    </xf>
    <xf numFmtId="0" fontId="30" fillId="0" borderId="61" xfId="0" applyFont="1" applyBorder="1" applyAlignment="1">
      <alignment horizontal="center" vertical="center" wrapText="1" readingOrder="1"/>
    </xf>
    <xf numFmtId="0" fontId="30" fillId="0" borderId="54" xfId="0" applyFont="1" applyBorder="1" applyAlignment="1">
      <alignment horizontal="center" vertical="center" wrapText="1" readingOrder="1"/>
    </xf>
    <xf numFmtId="0" fontId="30" fillId="0" borderId="58" xfId="0" applyFont="1" applyBorder="1" applyAlignment="1">
      <alignment horizontal="center" vertical="center" wrapText="1" readingOrder="1"/>
    </xf>
    <xf numFmtId="0" fontId="30" fillId="0" borderId="57" xfId="0" applyFont="1" applyBorder="1" applyAlignment="1">
      <alignment horizontal="center" vertical="center" wrapText="1" readingOrder="1"/>
    </xf>
    <xf numFmtId="0" fontId="30" fillId="0" borderId="53" xfId="0" applyFont="1" applyBorder="1" applyAlignment="1">
      <alignment horizontal="center" vertical="center" wrapText="1" readingOrder="1"/>
    </xf>
    <xf numFmtId="0" fontId="37" fillId="18" borderId="57" xfId="0" applyFont="1" applyFill="1" applyBorder="1" applyAlignment="1">
      <alignment horizontal="center" vertical="center" wrapText="1" readingOrder="1"/>
    </xf>
    <xf numFmtId="0" fontId="37" fillId="18" borderId="54" xfId="0" applyFont="1" applyFill="1" applyBorder="1" applyAlignment="1">
      <alignment horizontal="center" vertical="center" wrapText="1" readingOrder="1"/>
    </xf>
    <xf numFmtId="0" fontId="37" fillId="18" borderId="58" xfId="0" applyFont="1" applyFill="1" applyBorder="1" applyAlignment="1">
      <alignment horizontal="center" vertical="center" wrapText="1" readingOrder="1"/>
    </xf>
    <xf numFmtId="0" fontId="2" fillId="0" borderId="126" xfId="1" applyFill="1" applyBorder="1" applyAlignment="1">
      <alignment horizontal="center" vertical="center" wrapText="1"/>
    </xf>
    <xf numFmtId="0" fontId="2" fillId="0" borderId="144" xfId="1" applyFill="1" applyBorder="1" applyAlignment="1">
      <alignment horizontal="center" vertical="center" wrapText="1"/>
    </xf>
    <xf numFmtId="0" fontId="2" fillId="0" borderId="145" xfId="1" applyFill="1" applyBorder="1" applyAlignment="1">
      <alignment horizontal="center" vertical="center" wrapText="1"/>
    </xf>
    <xf numFmtId="0" fontId="6" fillId="0" borderId="13" xfId="0" applyFont="1" applyBorder="1" applyAlignment="1">
      <alignment horizontal="center" vertical="center" wrapText="1"/>
    </xf>
    <xf numFmtId="0" fontId="6" fillId="0" borderId="59"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59" xfId="0" applyFont="1" applyFill="1" applyBorder="1" applyAlignment="1">
      <alignment horizontal="center" vertical="center" wrapText="1"/>
    </xf>
    <xf numFmtId="0" fontId="3" fillId="18" borderId="60" xfId="0" applyFont="1" applyFill="1" applyBorder="1" applyAlignment="1">
      <alignment horizontal="center" vertical="center" wrapText="1"/>
    </xf>
    <xf numFmtId="0" fontId="0" fillId="0" borderId="132" xfId="0" applyBorder="1" applyAlignment="1">
      <alignment horizontal="left" vertical="center" wrapText="1"/>
    </xf>
    <xf numFmtId="0" fontId="0" fillId="0" borderId="133" xfId="0" applyBorder="1" applyAlignment="1">
      <alignment horizontal="left" vertical="center" wrapText="1"/>
    </xf>
    <xf numFmtId="0" fontId="15" fillId="2" borderId="171" xfId="0" applyFont="1" applyFill="1" applyBorder="1" applyAlignment="1">
      <alignment horizontal="left" vertical="center" wrapText="1"/>
    </xf>
    <xf numFmtId="0" fontId="15" fillId="2" borderId="172" xfId="0" applyFont="1" applyFill="1" applyBorder="1" applyAlignment="1">
      <alignment horizontal="left" vertical="center" wrapText="1"/>
    </xf>
    <xf numFmtId="0" fontId="15" fillId="2" borderId="164" xfId="0" applyFont="1" applyFill="1" applyBorder="1" applyAlignment="1">
      <alignment horizontal="left" vertical="center" wrapText="1"/>
    </xf>
    <xf numFmtId="0" fontId="4" fillId="0" borderId="11" xfId="1" applyFont="1" applyBorder="1" applyAlignment="1">
      <alignment horizontal="center" vertical="center" wrapText="1"/>
    </xf>
    <xf numFmtId="0" fontId="4" fillId="0" borderId="69" xfId="1" applyFont="1" applyBorder="1" applyAlignment="1">
      <alignment horizontal="center" vertical="center" wrapText="1"/>
    </xf>
    <xf numFmtId="0" fontId="42" fillId="18" borderId="53" xfId="1" applyFont="1" applyFill="1" applyBorder="1" applyAlignment="1">
      <alignment horizontal="center" vertical="center" wrapText="1"/>
    </xf>
    <xf numFmtId="0" fontId="42" fillId="18" borderId="23" xfId="1" applyFont="1" applyFill="1" applyBorder="1" applyAlignment="1">
      <alignment horizontal="center" vertical="center" wrapText="1"/>
    </xf>
    <xf numFmtId="0" fontId="2" fillId="0" borderId="63" xfId="1" applyBorder="1" applyAlignment="1">
      <alignment horizontal="center" vertical="center" wrapText="1"/>
    </xf>
    <xf numFmtId="0" fontId="2" fillId="0" borderId="64" xfId="1" applyBorder="1" applyAlignment="1">
      <alignment horizontal="center" vertical="center" wrapText="1"/>
    </xf>
    <xf numFmtId="0" fontId="6" fillId="0" borderId="74" xfId="0" applyFont="1" applyBorder="1" applyAlignment="1">
      <alignment horizontal="center" wrapText="1"/>
    </xf>
    <xf numFmtId="0" fontId="42" fillId="18" borderId="84" xfId="0" applyFont="1" applyFill="1" applyBorder="1" applyAlignment="1">
      <alignment horizontal="center" wrapText="1"/>
    </xf>
    <xf numFmtId="0" fontId="42" fillId="18" borderId="75" xfId="0" applyFont="1" applyFill="1" applyBorder="1" applyAlignment="1">
      <alignment horizontal="center" wrapText="1"/>
    </xf>
    <xf numFmtId="0" fontId="4" fillId="2" borderId="27" xfId="0" applyFont="1" applyFill="1" applyBorder="1" applyAlignment="1">
      <alignment horizontal="center" wrapText="1"/>
    </xf>
    <xf numFmtId="0" fontId="4" fillId="2" borderId="36" xfId="0" applyFont="1" applyFill="1" applyBorder="1" applyAlignment="1">
      <alignment horizontal="center" wrapText="1"/>
    </xf>
    <xf numFmtId="0" fontId="2" fillId="0" borderId="0" xfId="1" applyAlignment="1">
      <alignment horizontal="center" vertical="center" wrapText="1"/>
    </xf>
    <xf numFmtId="0" fontId="0" fillId="0" borderId="69" xfId="0" applyBorder="1" applyAlignment="1">
      <alignment horizontal="center" wrapText="1"/>
    </xf>
    <xf numFmtId="0" fontId="0" fillId="0" borderId="31" xfId="0" applyBorder="1" applyAlignment="1">
      <alignment horizontal="center" wrapText="1"/>
    </xf>
    <xf numFmtId="0" fontId="0" fillId="0" borderId="82" xfId="0" applyBorder="1" applyAlignment="1">
      <alignment horizontal="center" wrapText="1"/>
    </xf>
    <xf numFmtId="0" fontId="42" fillId="18" borderId="58" xfId="0" applyFont="1" applyFill="1" applyBorder="1" applyAlignment="1">
      <alignment horizontal="center" wrapText="1"/>
    </xf>
    <xf numFmtId="0" fontId="42" fillId="18" borderId="21" xfId="0" applyFont="1" applyFill="1" applyBorder="1" applyAlignment="1">
      <alignment horizontal="center" wrapText="1"/>
    </xf>
    <xf numFmtId="0" fontId="4" fillId="2" borderId="76" xfId="0" applyFont="1" applyFill="1" applyBorder="1" applyAlignment="1">
      <alignment horizontal="center" wrapText="1"/>
    </xf>
    <xf numFmtId="0" fontId="4" fillId="2" borderId="83" xfId="0" applyFont="1" applyFill="1" applyBorder="1" applyAlignment="1">
      <alignment horizontal="center" wrapText="1"/>
    </xf>
    <xf numFmtId="0" fontId="4" fillId="0" borderId="13" xfId="1" applyFont="1" applyBorder="1" applyAlignment="1">
      <alignment horizontal="center" vertical="center" wrapText="1"/>
    </xf>
    <xf numFmtId="0" fontId="4" fillId="0" borderId="59" xfId="1" applyFont="1" applyBorder="1" applyAlignment="1">
      <alignment horizontal="center" vertical="center" wrapText="1"/>
    </xf>
    <xf numFmtId="0" fontId="4" fillId="0" borderId="60" xfId="1" applyFont="1" applyBorder="1" applyAlignment="1">
      <alignment horizontal="center" vertical="center" wrapText="1"/>
    </xf>
    <xf numFmtId="0" fontId="26" fillId="2" borderId="76" xfId="0" applyFont="1" applyFill="1" applyBorder="1" applyAlignment="1">
      <alignment wrapText="1"/>
    </xf>
    <xf numFmtId="0" fontId="26" fillId="2" borderId="83" xfId="0" applyFont="1" applyFill="1" applyBorder="1" applyAlignment="1">
      <alignment wrapText="1"/>
    </xf>
    <xf numFmtId="0" fontId="3" fillId="0" borderId="61" xfId="1" applyFont="1" applyBorder="1" applyAlignment="1">
      <alignment horizontal="center" vertical="center" wrapText="1"/>
    </xf>
    <xf numFmtId="0" fontId="3" fillId="0" borderId="22" xfId="1" applyFont="1" applyBorder="1" applyAlignment="1">
      <alignment horizontal="center" vertical="center" wrapText="1"/>
    </xf>
    <xf numFmtId="0" fontId="43" fillId="18" borderId="84" xfId="0" applyFont="1" applyFill="1" applyBorder="1" applyAlignment="1">
      <alignment horizontal="center" wrapText="1"/>
    </xf>
    <xf numFmtId="0" fontId="43" fillId="18" borderId="75" xfId="0" applyFont="1" applyFill="1" applyBorder="1" applyAlignment="1">
      <alignment horizontal="center" wrapText="1"/>
    </xf>
    <xf numFmtId="0" fontId="4" fillId="2" borderId="37" xfId="0" applyFont="1" applyFill="1" applyBorder="1" applyAlignment="1">
      <alignment horizontal="center" wrapText="1"/>
    </xf>
    <xf numFmtId="0" fontId="4" fillId="2" borderId="32" xfId="0" applyFont="1" applyFill="1" applyBorder="1" applyAlignment="1">
      <alignment horizontal="center" wrapText="1"/>
    </xf>
    <xf numFmtId="0" fontId="43" fillId="18" borderId="2" xfId="0" applyFont="1" applyFill="1" applyBorder="1" applyAlignment="1">
      <alignment horizontal="center" wrapText="1"/>
    </xf>
    <xf numFmtId="0" fontId="4" fillId="2" borderId="34" xfId="0" applyFont="1" applyFill="1" applyBorder="1" applyAlignment="1">
      <alignment horizontal="center" wrapText="1"/>
    </xf>
    <xf numFmtId="0" fontId="6" fillId="0" borderId="61" xfId="0" applyFont="1" applyBorder="1" applyAlignment="1">
      <alignment horizontal="center" wrapText="1"/>
    </xf>
    <xf numFmtId="0" fontId="6" fillId="0" borderId="22" xfId="0" applyFont="1" applyBorder="1" applyAlignment="1">
      <alignment horizontal="center" wrapText="1"/>
    </xf>
    <xf numFmtId="0" fontId="6" fillId="0" borderId="11" xfId="0" applyFont="1" applyBorder="1" applyAlignment="1">
      <alignment horizontal="center" wrapText="1"/>
    </xf>
    <xf numFmtId="0" fontId="6" fillId="0" borderId="69" xfId="0" applyFont="1" applyBorder="1" applyAlignment="1">
      <alignment horizontal="center" wrapText="1"/>
    </xf>
    <xf numFmtId="0" fontId="43" fillId="18" borderId="14" xfId="0" applyFont="1" applyFill="1" applyBorder="1" applyAlignment="1">
      <alignment horizontal="center" wrapText="1"/>
    </xf>
    <xf numFmtId="0" fontId="2" fillId="0" borderId="13" xfId="1" applyBorder="1" applyAlignment="1">
      <alignment horizontal="center" vertical="center" wrapText="1"/>
    </xf>
    <xf numFmtId="0" fontId="2" fillId="0" borderId="59" xfId="1" applyBorder="1" applyAlignment="1">
      <alignment horizontal="center" vertical="center" wrapText="1"/>
    </xf>
    <xf numFmtId="0" fontId="2" fillId="0" borderId="60" xfId="1" applyBorder="1" applyAlignment="1">
      <alignment horizontal="center" vertical="center" wrapText="1"/>
    </xf>
    <xf numFmtId="0" fontId="6" fillId="0" borderId="85" xfId="0" applyFont="1" applyBorder="1" applyAlignment="1">
      <alignment horizontal="center" wrapText="1"/>
    </xf>
    <xf numFmtId="0" fontId="6" fillId="0" borderId="86" xfId="0" applyFont="1" applyBorder="1" applyAlignment="1">
      <alignment horizontal="center" wrapText="1"/>
    </xf>
    <xf numFmtId="0" fontId="43" fillId="18" borderId="58" xfId="0" applyFont="1" applyFill="1" applyBorder="1" applyAlignment="1">
      <alignment horizontal="center" wrapText="1"/>
    </xf>
    <xf numFmtId="0" fontId="43" fillId="18" borderId="21" xfId="0" applyFont="1" applyFill="1" applyBorder="1" applyAlignment="1">
      <alignment horizontal="center" wrapText="1"/>
    </xf>
    <xf numFmtId="0" fontId="21" fillId="0" borderId="76" xfId="0" applyFont="1" applyBorder="1" applyAlignment="1">
      <alignment horizontal="left"/>
    </xf>
    <xf numFmtId="0" fontId="21" fillId="0" borderId="80" xfId="0" applyFont="1" applyBorder="1" applyAlignment="1">
      <alignment horizontal="left"/>
    </xf>
    <xf numFmtId="0" fontId="21" fillId="0" borderId="83" xfId="0" applyFont="1" applyBorder="1" applyAlignment="1">
      <alignment horizontal="left"/>
    </xf>
    <xf numFmtId="0" fontId="21" fillId="0" borderId="134" xfId="0" applyFont="1" applyBorder="1" applyAlignment="1">
      <alignment horizontal="left"/>
    </xf>
    <xf numFmtId="0" fontId="32" fillId="0" borderId="2" xfId="0" applyFont="1" applyBorder="1" applyAlignment="1">
      <alignment horizontal="center" vertical="center"/>
    </xf>
    <xf numFmtId="0" fontId="2" fillId="0" borderId="6" xfId="1" applyFill="1" applyBorder="1" applyAlignment="1">
      <alignment horizontal="center" vertical="center" wrapText="1"/>
    </xf>
    <xf numFmtId="0" fontId="2" fillId="0" borderId="2" xfId="1" applyFill="1" applyBorder="1" applyAlignment="1">
      <alignment horizontal="center" vertical="center" wrapText="1"/>
    </xf>
    <xf numFmtId="0" fontId="6" fillId="0" borderId="57" xfId="0" applyFont="1" applyBorder="1" applyAlignment="1">
      <alignment horizontal="center" vertical="center"/>
    </xf>
    <xf numFmtId="0" fontId="6" fillId="0" borderId="54" xfId="0" applyFont="1" applyBorder="1" applyAlignment="1">
      <alignment horizontal="center" vertical="center"/>
    </xf>
    <xf numFmtId="0" fontId="6" fillId="0" borderId="58" xfId="0" applyFont="1" applyBorder="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6" fillId="18" borderId="2" xfId="0" applyFont="1" applyFill="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2" fillId="0" borderId="2" xfId="1" applyBorder="1" applyAlignment="1">
      <alignment horizontal="center" vertical="center" wrapText="1"/>
    </xf>
    <xf numFmtId="0" fontId="32" fillId="0" borderId="3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105" xfId="1" applyBorder="1" applyAlignment="1">
      <alignment horizontal="center" vertical="center" wrapText="1"/>
    </xf>
    <xf numFmtId="0" fontId="2" fillId="0" borderId="106" xfId="1" applyBorder="1" applyAlignment="1">
      <alignment horizontal="center" vertical="center" wrapText="1"/>
    </xf>
    <xf numFmtId="0" fontId="2" fillId="0" borderId="107" xfId="1" applyBorder="1" applyAlignment="1">
      <alignment horizontal="center" vertical="center" wrapText="1"/>
    </xf>
    <xf numFmtId="0" fontId="0" fillId="18" borderId="62" xfId="0" applyFill="1" applyBorder="1" applyAlignment="1">
      <alignment horizontal="center" vertical="center"/>
    </xf>
    <xf numFmtId="0" fontId="0" fillId="18" borderId="17" xfId="0" applyFill="1" applyBorder="1" applyAlignment="1">
      <alignment horizontal="center" vertical="center"/>
    </xf>
    <xf numFmtId="0" fontId="0" fillId="0" borderId="5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115" xfId="1" applyBorder="1" applyAlignment="1">
      <alignment horizontal="center" vertical="center" wrapText="1"/>
    </xf>
    <xf numFmtId="0" fontId="2" fillId="0" borderId="104" xfId="1" applyBorder="1" applyAlignment="1">
      <alignment horizontal="center" vertical="center" wrapText="1"/>
    </xf>
    <xf numFmtId="0" fontId="2" fillId="0" borderId="112" xfId="1" applyBorder="1" applyAlignment="1">
      <alignment horizontal="center" vertical="center" wrapText="1"/>
    </xf>
    <xf numFmtId="0" fontId="0" fillId="18" borderId="54" xfId="0" applyFill="1" applyBorder="1" applyAlignment="1">
      <alignment horizontal="center" vertical="center"/>
    </xf>
    <xf numFmtId="0" fontId="0" fillId="0" borderId="7" xfId="0" applyBorder="1" applyAlignment="1">
      <alignment horizontal="center" vertical="center"/>
    </xf>
    <xf numFmtId="0" fontId="0" fillId="0" borderId="111" xfId="0" applyBorder="1" applyAlignment="1">
      <alignment horizontal="center"/>
    </xf>
    <xf numFmtId="0" fontId="0" fillId="0" borderId="173" xfId="0" applyBorder="1" applyAlignment="1">
      <alignment horizontal="center"/>
    </xf>
    <xf numFmtId="0" fontId="0" fillId="0" borderId="9" xfId="0" applyBorder="1" applyAlignment="1">
      <alignment horizontal="center"/>
    </xf>
    <xf numFmtId="0" fontId="15" fillId="17" borderId="181" xfId="0" applyFont="1" applyFill="1" applyBorder="1" applyAlignment="1">
      <alignment horizontal="center"/>
    </xf>
    <xf numFmtId="0" fontId="15" fillId="17" borderId="182" xfId="0" applyFont="1" applyFill="1" applyBorder="1" applyAlignment="1">
      <alignment horizontal="center" vertical="center"/>
    </xf>
    <xf numFmtId="0" fontId="15" fillId="17" borderId="80" xfId="0" applyFont="1" applyFill="1" applyBorder="1" applyAlignment="1">
      <alignment horizontal="center" vertical="center"/>
    </xf>
    <xf numFmtId="0" fontId="15" fillId="17" borderId="37" xfId="0" applyFont="1" applyFill="1" applyBorder="1" applyAlignment="1">
      <alignment horizontal="center" vertical="center"/>
    </xf>
    <xf numFmtId="0" fontId="15" fillId="17" borderId="35" xfId="0" applyFont="1" applyFill="1" applyBorder="1" applyAlignment="1">
      <alignment horizontal="center" vertical="center"/>
    </xf>
    <xf numFmtId="0" fontId="1" fillId="17" borderId="11" xfId="0" applyFont="1" applyFill="1" applyBorder="1" applyAlignment="1">
      <alignment horizontal="center" vertical="center"/>
    </xf>
    <xf numFmtId="0" fontId="1" fillId="17" borderId="50" xfId="0" applyFont="1" applyFill="1" applyBorder="1" applyAlignment="1">
      <alignment horizontal="center" vertical="center"/>
    </xf>
    <xf numFmtId="0" fontId="0" fillId="18" borderId="58" xfId="0" applyFill="1" applyBorder="1" applyAlignment="1">
      <alignment horizontal="center" vertical="center"/>
    </xf>
    <xf numFmtId="0" fontId="0" fillId="18" borderId="14" xfId="0" applyFill="1" applyBorder="1" applyAlignment="1">
      <alignment horizontal="center" vertical="center"/>
    </xf>
    <xf numFmtId="0" fontId="2" fillId="0" borderId="49" xfId="1" applyBorder="1" applyAlignment="1">
      <alignment horizontal="center" vertical="center" wrapText="1"/>
    </xf>
    <xf numFmtId="0" fontId="0" fillId="18" borderId="53" xfId="0" applyFill="1" applyBorder="1" applyAlignment="1">
      <alignment horizontal="center" vertical="center"/>
    </xf>
    <xf numFmtId="0" fontId="0" fillId="18" borderId="1" xfId="0" applyFill="1" applyBorder="1" applyAlignment="1">
      <alignment horizontal="center" vertical="center"/>
    </xf>
  </cellXfs>
  <cellStyles count="14">
    <cellStyle name="Hipervínculo" xfId="1" builtinId="8"/>
    <cellStyle name="Hipervínculo 3" xfId="7" xr:uid="{CD480E81-F953-4013-8745-A5E5E8680C64}"/>
    <cellStyle name="Hyperlink" xfId="12" xr:uid="{00000000-000B-0000-0000-000008000000}"/>
    <cellStyle name="Millares" xfId="2" builtinId="3"/>
    <cellStyle name="Millares 2" xfId="6" xr:uid="{1FAE4DCA-3DD8-4B7A-8E9E-FA30C4E8A033}"/>
    <cellStyle name="Normal" xfId="0" builtinId="0"/>
    <cellStyle name="Normal 2" xfId="10" xr:uid="{91A4A7C4-D681-41BD-8660-8627163D6868}"/>
    <cellStyle name="Normal 2 2" xfId="11" xr:uid="{F53F9C2D-BE02-4341-8DF5-341EC1180C26}"/>
    <cellStyle name="Normal 2 3" xfId="8" xr:uid="{B32866A6-2980-4F08-8411-0EAC67716079}"/>
    <cellStyle name="Normal 4" xfId="4" xr:uid="{62633C1A-99A5-43BA-863A-4DF9B6023CD3}"/>
    <cellStyle name="Normal_Nueva_EPA" xfId="13" xr:uid="{A4F3716B-4BB9-44FE-BB19-9981FBF0694F}"/>
    <cellStyle name="Porcentaje" xfId="3" builtinId="5"/>
    <cellStyle name="Porcentaje 2" xfId="9" xr:uid="{3403860C-6F00-4591-BFDC-9D59EA207F9E}"/>
    <cellStyle name="Porcentaje 4" xfId="5" xr:uid="{C2A5FAFE-C182-405A-9903-835590B29EB2}"/>
  </cellStyles>
  <dxfs count="2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rgb="FFFFC7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auto="1"/>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auto="1"/>
      </font>
      <fill>
        <patternFill>
          <bgColor rgb="FFFFC7CE"/>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fgColor rgb="FFFFC7CE"/>
          <bgColor rgb="FFFFC7CE"/>
        </patternFill>
      </fill>
      <border>
        <vertical/>
        <horizontal/>
      </border>
    </dxf>
    <dxf>
      <fill>
        <patternFill>
          <bgColor theme="2"/>
        </patternFill>
      </fill>
    </dxf>
    <dxf>
      <fill>
        <patternFill>
          <bgColor rgb="FFFF898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ill>
        <patternFill>
          <fgColor rgb="FFFFC7CE"/>
          <bgColor rgb="FFFFC7CE"/>
        </patternFill>
      </fill>
      <border>
        <vertical/>
        <horizontal/>
      </border>
    </dxf>
    <dxf>
      <fill>
        <patternFill>
          <bgColor theme="2"/>
        </patternFill>
      </fill>
    </dxf>
    <dxf>
      <fill>
        <patternFill>
          <bgColor rgb="FFFF8989"/>
        </patternFill>
      </fill>
    </dxf>
    <dxf>
      <fill>
        <patternFill>
          <fgColor rgb="FFFFC7CE"/>
          <bgColor rgb="FFFFC7CE"/>
        </patternFill>
      </fill>
      <border>
        <vertical/>
        <horizontal/>
      </border>
    </dxf>
    <dxf>
      <fill>
        <patternFill>
          <bgColor theme="2"/>
        </patternFill>
      </fill>
    </dxf>
    <dxf>
      <fill>
        <patternFill>
          <bgColor rgb="FFFF8989"/>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ont>
        <color rgb="FF9C0006"/>
      </font>
      <fill>
        <patternFill>
          <bgColor rgb="FFFFC7CE"/>
        </patternFill>
      </fill>
    </dxf>
    <dxf>
      <font>
        <color auto="1"/>
      </font>
      <fill>
        <patternFill>
          <fgColor rgb="FFFFC7CE"/>
          <bgColor rgb="FFFFC7CE"/>
        </patternFill>
      </fill>
      <border>
        <vertical/>
        <horizontal/>
      </border>
    </dxf>
    <dxf>
      <fill>
        <patternFill>
          <bgColor theme="2"/>
        </patternFill>
      </fill>
    </dxf>
    <dxf>
      <font>
        <color auto="1"/>
      </font>
      <fill>
        <patternFill>
          <fgColor rgb="FFFFC7CE"/>
          <bgColor rgb="FFFFC7CE"/>
        </patternFill>
      </fill>
      <border>
        <vertical/>
        <horizontal/>
      </border>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fgColor rgb="FFFFC7CE"/>
          <bgColor rgb="FFFFC7CE"/>
        </patternFill>
      </fill>
      <border>
        <vertical/>
        <horizontal/>
      </border>
    </dxf>
    <dxf>
      <fill>
        <patternFill>
          <bgColor theme="2"/>
        </patternFill>
      </fill>
    </dxf>
    <dxf>
      <font>
        <color rgb="FF9C0006"/>
      </font>
      <fill>
        <patternFill>
          <bgColor rgb="FFFFC7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ont>
        <color auto="1"/>
      </font>
      <fill>
        <patternFill>
          <fgColor rgb="FFFFC7CE"/>
          <bgColor rgb="FFFFC7CE"/>
        </patternFill>
      </fill>
      <border>
        <vertical/>
        <horizontal/>
      </border>
    </dxf>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rgb="FFFFC7CE"/>
          <bgColor rgb="FFFFC7CE"/>
        </patternFill>
      </fill>
      <border>
        <vertical/>
        <horizontal/>
      </border>
    </dxf>
    <dxf>
      <fill>
        <patternFill>
          <bgColor theme="2"/>
        </patternFill>
      </fill>
    </dxf>
    <dxf>
      <fill>
        <patternFill>
          <bgColor rgb="FFFF8989"/>
        </patternFill>
      </fill>
    </dxf>
    <dxf>
      <fill>
        <patternFill>
          <fgColor rgb="FFFFC7CE"/>
          <bgColor rgb="FFFFC7CE"/>
        </patternFill>
      </fill>
      <border>
        <vertical/>
        <horizontal/>
      </border>
    </dxf>
    <dxf>
      <fill>
        <patternFill>
          <bgColor theme="2"/>
        </patternFill>
      </fill>
    </dxf>
    <dxf>
      <fill>
        <patternFill>
          <bgColor rgb="FFFF8989"/>
        </patternFill>
      </fill>
    </dxf>
    <dxf>
      <fill>
        <patternFill>
          <fgColor rgb="FFFFC7CE"/>
          <bgColor rgb="FFFFC7CE"/>
        </patternFill>
      </fill>
      <border>
        <vertical/>
        <horizontal/>
      </border>
    </dxf>
    <dxf>
      <fill>
        <patternFill>
          <bgColor theme="2"/>
        </patternFill>
      </fill>
    </dxf>
    <dxf>
      <fill>
        <patternFill>
          <bgColor rgb="FFFF8989"/>
        </patternFill>
      </fill>
    </dxf>
    <dxf>
      <font>
        <color auto="1"/>
      </font>
      <fill>
        <patternFill>
          <fgColor rgb="FFFFC7CE"/>
          <bgColor rgb="FFFFC7CE"/>
        </patternFill>
      </fill>
      <border>
        <vertical/>
        <horizontal/>
      </border>
    </dxf>
    <dxf>
      <fill>
        <patternFill>
          <bgColor theme="2"/>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8989"/>
      <color rgb="FF960000"/>
      <color rgb="FF8A0000"/>
      <color rgb="FFFF5050"/>
      <color rgb="FFFFC7CE"/>
      <color rgb="FFC1FFF3"/>
      <color rgb="FFE5E5FF"/>
      <color rgb="FFE1FFF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solidFill>
                  <a:sysClr val="windowText" lastClr="000000"/>
                </a:solidFill>
              </a:rPr>
              <a:t>1.1</a:t>
            </a:r>
            <a:r>
              <a:rPr lang="en-US" b="1" baseline="0">
                <a:solidFill>
                  <a:sysClr val="windowText" lastClr="000000"/>
                </a:solidFill>
              </a:rPr>
              <a:t> Índice de Desigualdad de Género</a:t>
            </a:r>
            <a:endParaRPr lang="en-US" b="1">
              <a:solidFill>
                <a:sysClr val="windowText" lastClr="000000"/>
              </a:solidFill>
            </a:endParaRPr>
          </a:p>
        </c:rich>
      </c:tx>
      <c:overlay val="0"/>
      <c:spPr>
        <a:solidFill>
          <a:schemeClr val="bg1"/>
        </a:solid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s-ES"/>
        </a:p>
      </c:txPr>
    </c:title>
    <c:autoTitleDeleted val="0"/>
    <c:plotArea>
      <c:layout/>
      <c:lineChart>
        <c:grouping val="standard"/>
        <c:varyColors val="0"/>
        <c:ser>
          <c:idx val="0"/>
          <c:order val="0"/>
          <c:spPr>
            <a:ln w="22225" cap="rnd" cmpd="sng" algn="ctr">
              <a:solidFill>
                <a:srgbClr val="FF5050"/>
              </a:solidFill>
              <a:round/>
            </a:ln>
            <a:effectLst/>
          </c:spPr>
          <c:marker>
            <c:symbol val="none"/>
          </c:marker>
          <c:dLbls>
            <c:spPr>
              <a:solidFill>
                <a:srgbClr val="FF5050"/>
              </a:solidFill>
              <a:ln>
                <a:solidFill>
                  <a:srgbClr val="FF505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'1.SITUACIÓN GLOBAL'!$D$2:$U$2</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GLOBAL'!$D$3:$U$3</c:f>
              <c:numCache>
                <c:formatCode>0.000</c:formatCode>
                <c:ptCount val="18"/>
                <c:pt idx="0">
                  <c:v>0.59299999999999997</c:v>
                </c:pt>
                <c:pt idx="1">
                  <c:v>0.59399999999999997</c:v>
                </c:pt>
                <c:pt idx="2">
                  <c:v>0.60499999999999998</c:v>
                </c:pt>
                <c:pt idx="3">
                  <c:v>0.63</c:v>
                </c:pt>
                <c:pt idx="4">
                  <c:v>0.64300000000000002</c:v>
                </c:pt>
                <c:pt idx="5">
                  <c:v>0.629</c:v>
                </c:pt>
                <c:pt idx="6">
                  <c:v>0.63500000000000001</c:v>
                </c:pt>
                <c:pt idx="7">
                  <c:v>0.65100000000000002</c:v>
                </c:pt>
                <c:pt idx="8">
                  <c:v>0.66600000000000004</c:v>
                </c:pt>
                <c:pt idx="9">
                  <c:v>0.65100000000000002</c:v>
                </c:pt>
                <c:pt idx="10">
                  <c:v>0.63700000000000001</c:v>
                </c:pt>
                <c:pt idx="11">
                  <c:v>0.65</c:v>
                </c:pt>
                <c:pt idx="12">
                  <c:v>0.66200000000000003</c:v>
                </c:pt>
                <c:pt idx="13">
                  <c:v>0.68700000000000006</c:v>
                </c:pt>
                <c:pt idx="14">
                  <c:v>0.73299999999999998</c:v>
                </c:pt>
                <c:pt idx="15">
                  <c:v>0.70599999999999996</c:v>
                </c:pt>
                <c:pt idx="16">
                  <c:v>0.7</c:v>
                </c:pt>
                <c:pt idx="17">
                  <c:v>0.67188979368802781</c:v>
                </c:pt>
              </c:numCache>
            </c:numRef>
          </c:val>
          <c:smooth val="0"/>
          <c:extLst>
            <c:ext xmlns:c16="http://schemas.microsoft.com/office/drawing/2014/chart" uri="{C3380CC4-5D6E-409C-BE32-E72D297353CC}">
              <c16:uniqueId val="{00000000-10FE-4034-A48D-4C7B1AE9A594}"/>
            </c:ext>
          </c:extLst>
        </c:ser>
        <c:dLbls>
          <c:showLegendKey val="0"/>
          <c:showVal val="1"/>
          <c:showCatName val="0"/>
          <c:showSerName val="0"/>
          <c:showPercent val="0"/>
          <c:showBubbleSize val="0"/>
        </c:dLbls>
        <c:smooth val="0"/>
        <c:axId val="165203520"/>
        <c:axId val="165203904"/>
        <c:extLst/>
      </c:lineChart>
      <c:dateAx>
        <c:axId val="165203520"/>
        <c:scaling>
          <c:orientation val="minMax"/>
        </c:scaling>
        <c:delete val="0"/>
        <c:axPos val="b"/>
        <c:majorGridlines>
          <c:spPr>
            <a:ln>
              <a:solidFill>
                <a:schemeClr val="dk1">
                  <a:lumMod val="15000"/>
                  <a:lumOff val="85000"/>
                </a:schemeClr>
              </a:solidFill>
            </a:ln>
            <a:effectLst/>
          </c:spPr>
        </c:majorGridlines>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50" b="0" i="0" u="none" strike="noStrike" kern="1200" spc="20" baseline="0">
                <a:solidFill>
                  <a:schemeClr val="dk1">
                    <a:lumMod val="65000"/>
                    <a:lumOff val="35000"/>
                  </a:schemeClr>
                </a:solidFill>
                <a:latin typeface="+mn-lt"/>
                <a:ea typeface="+mn-ea"/>
                <a:cs typeface="+mn-cs"/>
              </a:defRPr>
            </a:pPr>
            <a:endParaRPr lang="es-ES"/>
          </a:p>
        </c:txPr>
        <c:crossAx val="165203904"/>
        <c:crossesAt val="1"/>
        <c:auto val="0"/>
        <c:lblOffset val="100"/>
        <c:baseTimeUnit val="days"/>
      </c:dateAx>
      <c:valAx>
        <c:axId val="165203904"/>
        <c:scaling>
          <c:orientation val="minMax"/>
          <c:max val="1"/>
          <c:min val="0.5"/>
        </c:scaling>
        <c:delete val="0"/>
        <c:axPos val="l"/>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s-ES"/>
          </a:p>
        </c:txPr>
        <c:crossAx val="165203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2.2. Población por grandes grupos de edad: principales indicadores </a:t>
            </a:r>
          </a:p>
          <a:p>
            <a:pPr>
              <a:defRPr sz="1200" b="1"/>
            </a:pPr>
            <a:r>
              <a:rPr lang="it-IT" sz="1200" b="1"/>
              <a:t>(15-64 </a:t>
            </a:r>
            <a:r>
              <a:rPr lang="it-IT" sz="1200" b="1" baseline="0"/>
              <a:t>años</a:t>
            </a:r>
            <a:r>
              <a:rPr lang="it-IT" sz="1200" b="1"/>
              <a:t>)</a:t>
            </a:r>
          </a:p>
        </c:rich>
      </c:tx>
      <c:layout>
        <c:manualLayout>
          <c:xMode val="edge"/>
          <c:yMode val="edge"/>
          <c:x val="0.24203396825396825"/>
          <c:y val="1.596895424836601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8605964052287582"/>
          <c:y val="0.1901107638888889"/>
          <c:w val="0.79800248994694767"/>
          <c:h val="0.44443951385899261"/>
        </c:manualLayout>
      </c:layout>
      <c:barChart>
        <c:barDir val="col"/>
        <c:grouping val="clustered"/>
        <c:varyColors val="0"/>
        <c:ser>
          <c:idx val="2"/>
          <c:order val="2"/>
          <c:tx>
            <c:strRef>
              <c:f>'2. POBLACIÓN Y HOGARES'!$C$27:$C$31</c:f>
              <c:strCache>
                <c:ptCount val="1"/>
                <c:pt idx="0">
                  <c:v>Diferencia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HOGARES'!$E$2:$V$2</c15:sqref>
                  </c15:fullRef>
                </c:ext>
              </c:extLst>
              <c:f>'2. POBLACIÓN Y HOGARES'!$F$2:$V$2</c:f>
              <c:numCache>
                <c:formatCode>General</c:formatCode>
                <c:ptCount val="5"/>
                <c:pt idx="0">
                  <c:v>2010</c:v>
                </c:pt>
                <c:pt idx="1">
                  <c:v>2015</c:v>
                </c:pt>
                <c:pt idx="2">
                  <c:v>2020</c:v>
                </c:pt>
                <c:pt idx="3">
                  <c:v>2021</c:v>
                </c:pt>
                <c:pt idx="4">
                  <c:v>2022</c:v>
                </c:pt>
              </c:numCache>
            </c:numRef>
          </c:cat>
          <c:val>
            <c:numRef>
              <c:extLst>
                <c:ext xmlns:c15="http://schemas.microsoft.com/office/drawing/2012/chart" uri="{02D57815-91ED-43cb-92C2-25804820EDAC}">
                  <c15:fullRef>
                    <c15:sqref>'2. POBLACIÓN Y HOGARES'!$E$29:$X$29</c15:sqref>
                  </c15:fullRef>
                </c:ext>
              </c:extLst>
              <c:f>'2. POBLACIÓN Y HOGARES'!$F$29:$X$29</c:f>
              <c:numCache>
                <c:formatCode>#,##0</c:formatCode>
                <c:ptCount val="7"/>
                <c:pt idx="0">
                  <c:v>68840</c:v>
                </c:pt>
                <c:pt idx="1">
                  <c:v>87038</c:v>
                </c:pt>
                <c:pt idx="2">
                  <c:v>90720</c:v>
                </c:pt>
                <c:pt idx="3">
                  <c:v>86161</c:v>
                </c:pt>
                <c:pt idx="4">
                  <c:v>81418</c:v>
                </c:pt>
                <c:pt idx="5">
                  <c:v>83976</c:v>
                </c:pt>
                <c:pt idx="6">
                  <c:v>81110</c:v>
                </c:pt>
              </c:numCache>
            </c:numRef>
          </c:val>
          <c:extLst>
            <c:ext xmlns:c16="http://schemas.microsoft.com/office/drawing/2014/chart" uri="{C3380CC4-5D6E-409C-BE32-E72D297353CC}">
              <c16:uniqueId val="{00000007-6E3E-4C4B-9380-6540628DA8A6}"/>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HOGARES'!$C$15:$C$20</c:f>
              <c:strCache>
                <c:ptCount val="1"/>
                <c:pt idx="0">
                  <c:v>Hombres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HOGARES'!$E$17:$X$17</c15:sqref>
                  </c15:fullRef>
                </c:ext>
              </c:extLst>
              <c:f>'2. POBLACIÓN Y HOGARES'!$F$17:$X$17</c:f>
              <c:numCache>
                <c:formatCode>#,##0</c:formatCode>
                <c:ptCount val="7"/>
                <c:pt idx="0">
                  <c:v>1066516</c:v>
                </c:pt>
                <c:pt idx="1">
                  <c:v>977679</c:v>
                </c:pt>
                <c:pt idx="2">
                  <c:v>1054413</c:v>
                </c:pt>
                <c:pt idx="3">
                  <c:v>1053420</c:v>
                </c:pt>
                <c:pt idx="4">
                  <c:v>1046627</c:v>
                </c:pt>
                <c:pt idx="5">
                  <c:v>1068678</c:v>
                </c:pt>
                <c:pt idx="6">
                  <c:v>1135068</c:v>
                </c:pt>
              </c:numCache>
            </c:numRef>
          </c:val>
          <c:smooth val="0"/>
          <c:extLst>
            <c:ext xmlns:c16="http://schemas.microsoft.com/office/drawing/2014/chart" uri="{C3380CC4-5D6E-409C-BE32-E72D297353CC}">
              <c16:uniqueId val="{00000008-6E3E-4C4B-9380-6540628DA8A6}"/>
            </c:ext>
          </c:extLst>
        </c:ser>
        <c:ser>
          <c:idx val="1"/>
          <c:order val="1"/>
          <c:tx>
            <c:strRef>
              <c:f>'2. POBLACIÓN Y HOGARES'!$C$21:$C$26</c:f>
              <c:strCache>
                <c:ptCount val="1"/>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HOGARES'!$E$23:$X$23</c15:sqref>
                  </c15:fullRef>
                </c:ext>
              </c:extLst>
              <c:f>'2. POBLACIÓN Y HOGARES'!$F$23:$X$23</c:f>
              <c:numCache>
                <c:formatCode>#,##0</c:formatCode>
                <c:ptCount val="7"/>
                <c:pt idx="0">
                  <c:v>1135356</c:v>
                </c:pt>
                <c:pt idx="1">
                  <c:v>1064717</c:v>
                </c:pt>
                <c:pt idx="2">
                  <c:v>1145133</c:v>
                </c:pt>
                <c:pt idx="3">
                  <c:v>1139581</c:v>
                </c:pt>
                <c:pt idx="4">
                  <c:v>1128045</c:v>
                </c:pt>
                <c:pt idx="5">
                  <c:v>1152654</c:v>
                </c:pt>
                <c:pt idx="6">
                  <c:v>1216178</c:v>
                </c:pt>
              </c:numCache>
            </c:numRef>
          </c:val>
          <c:smooth val="0"/>
          <c:extLst>
            <c:ext xmlns:c16="http://schemas.microsoft.com/office/drawing/2014/chart" uri="{C3380CC4-5D6E-409C-BE32-E72D297353CC}">
              <c16:uniqueId val="{00000009-6E3E-4C4B-9380-6540628DA8A6}"/>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2.2. Población por grandes grupos de edad: principales indicadores </a:t>
            </a:r>
          </a:p>
          <a:p>
            <a:pPr>
              <a:defRPr sz="1200" b="1"/>
            </a:pPr>
            <a:r>
              <a:rPr lang="it-IT" sz="1200" b="1"/>
              <a:t>(65</a:t>
            </a:r>
            <a:r>
              <a:rPr lang="it-IT" sz="1200" b="1" baseline="0"/>
              <a:t> años y más</a:t>
            </a:r>
            <a:r>
              <a:rPr lang="it-IT" sz="1200" b="1"/>
              <a:t>)</a:t>
            </a:r>
          </a:p>
        </c:rich>
      </c:tx>
      <c:layout>
        <c:manualLayout>
          <c:xMode val="edge"/>
          <c:yMode val="edge"/>
          <c:x val="0.14728790987606655"/>
          <c:y val="1.181872371427625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7775739935018459"/>
          <c:y val="0.1989303573202636"/>
          <c:w val="0.79800248994694767"/>
          <c:h val="0.44443951385899261"/>
        </c:manualLayout>
      </c:layout>
      <c:barChart>
        <c:barDir val="col"/>
        <c:grouping val="clustered"/>
        <c:varyColors val="0"/>
        <c:ser>
          <c:idx val="2"/>
          <c:order val="2"/>
          <c:tx>
            <c:strRef>
              <c:f>'2. POBLACIÓN Y HOGARES'!$C$27:$C$31</c:f>
              <c:strCache>
                <c:ptCount val="1"/>
                <c:pt idx="0">
                  <c:v>Diferencia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HOGARES'!$E$2:$V$2</c15:sqref>
                  </c15:fullRef>
                </c:ext>
              </c:extLst>
              <c:f>'2. POBLACIÓN Y HOGARES'!$F$2:$V$2</c:f>
              <c:numCache>
                <c:formatCode>General</c:formatCode>
                <c:ptCount val="5"/>
                <c:pt idx="0">
                  <c:v>2010</c:v>
                </c:pt>
                <c:pt idx="1">
                  <c:v>2015</c:v>
                </c:pt>
                <c:pt idx="2">
                  <c:v>2020</c:v>
                </c:pt>
                <c:pt idx="3">
                  <c:v>2021</c:v>
                </c:pt>
                <c:pt idx="4">
                  <c:v>2022</c:v>
                </c:pt>
              </c:numCache>
            </c:numRef>
          </c:cat>
          <c:val>
            <c:numRef>
              <c:extLst>
                <c:ext xmlns:c15="http://schemas.microsoft.com/office/drawing/2012/chart" uri="{02D57815-91ED-43cb-92C2-25804820EDAC}">
                  <c15:fullRef>
                    <c15:sqref>'2. POBLACIÓN Y HOGARES'!$E$30:$X$30</c15:sqref>
                  </c15:fullRef>
                </c:ext>
              </c:extLst>
              <c:f>'2. POBLACIÓN Y HOGARES'!$F$30:$X$30</c:f>
              <c:numCache>
                <c:formatCode>#,##0</c:formatCode>
                <c:ptCount val="7"/>
                <c:pt idx="0">
                  <c:v>137947</c:v>
                </c:pt>
                <c:pt idx="1">
                  <c:v>142396</c:v>
                </c:pt>
                <c:pt idx="2">
                  <c:v>145213</c:v>
                </c:pt>
                <c:pt idx="3">
                  <c:v>146098</c:v>
                </c:pt>
                <c:pt idx="4">
                  <c:v>146083</c:v>
                </c:pt>
                <c:pt idx="5">
                  <c:v>146481</c:v>
                </c:pt>
                <c:pt idx="6">
                  <c:v>147190</c:v>
                </c:pt>
              </c:numCache>
            </c:numRef>
          </c:val>
          <c:extLst>
            <c:ext xmlns:c16="http://schemas.microsoft.com/office/drawing/2014/chart" uri="{C3380CC4-5D6E-409C-BE32-E72D297353CC}">
              <c16:uniqueId val="{00000000-EBA6-482C-9B4E-1FE5DE7FDA66}"/>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HOGARES'!$C$15:$C$20</c:f>
              <c:strCache>
                <c:ptCount val="1"/>
                <c:pt idx="0">
                  <c:v>Hombres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HOGARES'!$E$18:$X$18</c15:sqref>
                  </c15:fullRef>
                </c:ext>
              </c:extLst>
              <c:f>'2. POBLACIÓN Y HOGARES'!$F$18:$X$18</c:f>
              <c:numCache>
                <c:formatCode>#,##0</c:formatCode>
                <c:ptCount val="7"/>
                <c:pt idx="0">
                  <c:v>239185</c:v>
                </c:pt>
                <c:pt idx="1">
                  <c:v>250733</c:v>
                </c:pt>
                <c:pt idx="2">
                  <c:v>261915</c:v>
                </c:pt>
                <c:pt idx="3">
                  <c:v>258648</c:v>
                </c:pt>
                <c:pt idx="4">
                  <c:v>260258</c:v>
                </c:pt>
                <c:pt idx="5">
                  <c:v>264073</c:v>
                </c:pt>
                <c:pt idx="6">
                  <c:v>271901</c:v>
                </c:pt>
              </c:numCache>
            </c:numRef>
          </c:val>
          <c:smooth val="0"/>
          <c:extLst>
            <c:ext xmlns:c16="http://schemas.microsoft.com/office/drawing/2014/chart" uri="{C3380CC4-5D6E-409C-BE32-E72D297353CC}">
              <c16:uniqueId val="{00000001-EBA6-482C-9B4E-1FE5DE7FDA66}"/>
            </c:ext>
          </c:extLst>
        </c:ser>
        <c:ser>
          <c:idx val="1"/>
          <c:order val="1"/>
          <c:tx>
            <c:strRef>
              <c:f>'2. POBLACIÓN Y HOGARES'!$C$21:$C$26</c:f>
              <c:strCache>
                <c:ptCount val="1"/>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HOGARES'!$E$24:$X$24</c15:sqref>
                  </c15:fullRef>
                </c:ext>
              </c:extLst>
              <c:f>'2. POBLACIÓN Y HOGARES'!$F$24:$X$24</c:f>
              <c:numCache>
                <c:formatCode>#,##0</c:formatCode>
                <c:ptCount val="7"/>
                <c:pt idx="0">
                  <c:v>377132</c:v>
                </c:pt>
                <c:pt idx="1">
                  <c:v>393129</c:v>
                </c:pt>
                <c:pt idx="2">
                  <c:v>407128</c:v>
                </c:pt>
                <c:pt idx="3">
                  <c:v>404746</c:v>
                </c:pt>
                <c:pt idx="4">
                  <c:v>406341</c:v>
                </c:pt>
                <c:pt idx="5">
                  <c:v>410554</c:v>
                </c:pt>
                <c:pt idx="6">
                  <c:v>419091</c:v>
                </c:pt>
              </c:numCache>
            </c:numRef>
          </c:val>
          <c:smooth val="0"/>
          <c:extLst>
            <c:ext xmlns:c16="http://schemas.microsoft.com/office/drawing/2014/chart" uri="{C3380CC4-5D6E-409C-BE32-E72D297353CC}">
              <c16:uniqueId val="{00000002-EBA6-482C-9B4E-1FE5DE7FDA66}"/>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layout>
        <c:manualLayout>
          <c:xMode val="edge"/>
          <c:yMode val="edge"/>
          <c:x val="0.46419365079365077"/>
          <c:y val="0.92581241830065364"/>
          <c:w val="0.45059682539682538"/>
          <c:h val="7.00372549019607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2.2. Población por grandes grupos de edad: principales indicadores </a:t>
            </a:r>
          </a:p>
          <a:p>
            <a:pPr>
              <a:defRPr sz="1200" b="1"/>
            </a:pPr>
            <a:r>
              <a:rPr lang="it-IT" sz="1200" b="1"/>
              <a:t>(80</a:t>
            </a:r>
            <a:r>
              <a:rPr lang="it-IT" sz="1200" b="1" baseline="0"/>
              <a:t> años y más</a:t>
            </a:r>
            <a:r>
              <a:rPr lang="it-IT" sz="1200" b="1"/>
              <a:t>)</a:t>
            </a:r>
          </a:p>
        </c:rich>
      </c:tx>
      <c:layout>
        <c:manualLayout>
          <c:xMode val="edge"/>
          <c:yMode val="edge"/>
          <c:x val="0.2480815873015873"/>
          <c:y val="2.42696078431372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7775739935018459"/>
          <c:y val="0.1989303573202636"/>
          <c:w val="0.79800248994694767"/>
          <c:h val="0.44443951385899261"/>
        </c:manualLayout>
      </c:layout>
      <c:barChart>
        <c:barDir val="col"/>
        <c:grouping val="clustered"/>
        <c:varyColors val="0"/>
        <c:ser>
          <c:idx val="2"/>
          <c:order val="2"/>
          <c:tx>
            <c:strRef>
              <c:f>'2. POBLACIÓN Y HOGARES'!$C$27:$C$31</c:f>
              <c:strCache>
                <c:ptCount val="1"/>
                <c:pt idx="0">
                  <c:v>Diferencia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HOGARES'!$E$8:$X$8</c15:sqref>
                  </c15:fullRef>
                </c:ext>
              </c:extLst>
              <c:f>'2. POBLACIÓN Y HOGARES'!$F$8:$X$8</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HOGARES'!$E$31:$X$31</c15:sqref>
                  </c15:fullRef>
                </c:ext>
              </c:extLst>
              <c:f>'2. POBLACIÓN Y HOGARES'!$F$31:$X$31</c:f>
              <c:numCache>
                <c:formatCode>#,##0</c:formatCode>
                <c:ptCount val="7"/>
                <c:pt idx="0">
                  <c:v>66423</c:v>
                </c:pt>
                <c:pt idx="1">
                  <c:v>72194</c:v>
                </c:pt>
                <c:pt idx="2">
                  <c:v>74172</c:v>
                </c:pt>
                <c:pt idx="3">
                  <c:v>74933</c:v>
                </c:pt>
                <c:pt idx="4">
                  <c:v>74833</c:v>
                </c:pt>
                <c:pt idx="5">
                  <c:v>74455</c:v>
                </c:pt>
                <c:pt idx="6">
                  <c:v>75629</c:v>
                </c:pt>
              </c:numCache>
            </c:numRef>
          </c:val>
          <c:extLst>
            <c:ext xmlns:c16="http://schemas.microsoft.com/office/drawing/2014/chart" uri="{C3380CC4-5D6E-409C-BE32-E72D297353CC}">
              <c16:uniqueId val="{00000000-F3B2-4D4B-B020-7143CD9A6A64}"/>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HOGARES'!$C$15:$C$20</c:f>
              <c:strCache>
                <c:ptCount val="1"/>
                <c:pt idx="0">
                  <c:v>Hombres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HOGARES'!$E$19:$X$19</c15:sqref>
                  </c15:fullRef>
                </c:ext>
              </c:extLst>
              <c:f>'2. POBLACIÓN Y HOGARES'!$F$19:$X$19</c:f>
              <c:numCache>
                <c:formatCode>#,##0</c:formatCode>
                <c:ptCount val="7"/>
                <c:pt idx="0">
                  <c:v>61641</c:v>
                </c:pt>
                <c:pt idx="1">
                  <c:v>76648</c:v>
                </c:pt>
                <c:pt idx="2">
                  <c:v>80692</c:v>
                </c:pt>
                <c:pt idx="3">
                  <c:v>79846</c:v>
                </c:pt>
                <c:pt idx="4">
                  <c:v>79261</c:v>
                </c:pt>
                <c:pt idx="5">
                  <c:v>79459</c:v>
                </c:pt>
                <c:pt idx="6">
                  <c:v>81964</c:v>
                </c:pt>
              </c:numCache>
            </c:numRef>
          </c:val>
          <c:smooth val="0"/>
          <c:extLst>
            <c:ext xmlns:c16="http://schemas.microsoft.com/office/drawing/2014/chart" uri="{C3380CC4-5D6E-409C-BE32-E72D297353CC}">
              <c16:uniqueId val="{00000001-F3B2-4D4B-B020-7143CD9A6A64}"/>
            </c:ext>
          </c:extLst>
        </c:ser>
        <c:ser>
          <c:idx val="1"/>
          <c:order val="1"/>
          <c:tx>
            <c:strRef>
              <c:f>'2. POBLACIÓN Y HOGARES'!$C$21:$C$26</c:f>
              <c:strCache>
                <c:ptCount val="1"/>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HOGARES'!$E$25:$X$25</c15:sqref>
                  </c15:fullRef>
                </c:ext>
              </c:extLst>
              <c:f>'2. POBLACIÓN Y HOGARES'!$F$25:$X$25</c:f>
              <c:numCache>
                <c:formatCode>#,##0</c:formatCode>
                <c:ptCount val="7"/>
                <c:pt idx="0">
                  <c:v>128064</c:v>
                </c:pt>
                <c:pt idx="1">
                  <c:v>148842</c:v>
                </c:pt>
                <c:pt idx="2">
                  <c:v>154864</c:v>
                </c:pt>
                <c:pt idx="3">
                  <c:v>154779</c:v>
                </c:pt>
                <c:pt idx="4">
                  <c:v>154094</c:v>
                </c:pt>
                <c:pt idx="5">
                  <c:v>153914</c:v>
                </c:pt>
                <c:pt idx="6">
                  <c:v>157593</c:v>
                </c:pt>
              </c:numCache>
            </c:numRef>
          </c:val>
          <c:smooth val="0"/>
          <c:extLst>
            <c:ext xmlns:c16="http://schemas.microsoft.com/office/drawing/2014/chart" uri="{C3380CC4-5D6E-409C-BE32-E72D297353CC}">
              <c16:uniqueId val="{00000002-F3B2-4D4B-B020-7143CD9A6A64}"/>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3.1. Tasa de actividad de 16 a 64 años</a:t>
            </a:r>
          </a:p>
        </c:rich>
      </c:tx>
      <c:layout>
        <c:manualLayout>
          <c:xMode val="edge"/>
          <c:yMode val="edge"/>
          <c:x val="0.33093940452236287"/>
          <c:y val="2.77777867173950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'3. EMPLEO Y ACTIVIDAD ECONÓMICA'!$B$6:$C$6</c:f>
              <c:strCache>
                <c:ptCount val="2"/>
                <c:pt idx="0">
                  <c:v>Brecha (punt.porc.)</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ECONÓMICA'!$D$2:$W$2</c15:sqref>
                  </c15:fullRef>
                </c:ext>
              </c:extLst>
              <c:f>('3. EMPLEO Y ACTIVIDAD ECONÓMICA'!$D$2,'3. EMPLEO Y ACTIVIDAD ECONÓMICA'!$I$2,'3. EMPLEO Y ACTIVIDAD ECONÓMICA'!$N$2,'3. EMPLEO Y ACTIVIDAD ECONÓMICA'!$S$2:$W$2)</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ECONÓMICA'!$D$6:$W$6</c15:sqref>
                  </c15:fullRef>
                </c:ext>
              </c:extLst>
              <c:f>('3. EMPLEO Y ACTIVIDAD ECONÓMICA'!$D$6,'3. EMPLEO Y ACTIVIDAD ECONÓMICA'!$I$6,'3. EMPLEO Y ACTIVIDAD ECONÓMICA'!$N$6,'3. EMPLEO Y ACTIVIDAD ECONÓMICA'!$S$6:$W$6)</c:f>
              <c:numCache>
                <c:formatCode>0.0</c:formatCode>
                <c:ptCount val="8"/>
                <c:pt idx="0">
                  <c:v>-13.659999999999997</c:v>
                </c:pt>
                <c:pt idx="1">
                  <c:v>-9.4399999999999977</c:v>
                </c:pt>
                <c:pt idx="2">
                  <c:v>-4.9000000000000057</c:v>
                </c:pt>
                <c:pt idx="3">
                  <c:v>-5.3099999999999881</c:v>
                </c:pt>
                <c:pt idx="4">
                  <c:v>-3.4545890651276068</c:v>
                </c:pt>
                <c:pt idx="5">
                  <c:v>-6.1086146734303952</c:v>
                </c:pt>
                <c:pt idx="6">
                  <c:v>-4.7969589701173732</c:v>
                </c:pt>
                <c:pt idx="7">
                  <c:v>-3.9391351478119105</c:v>
                </c:pt>
              </c:numCache>
            </c:numRef>
          </c:val>
          <c:extLst>
            <c:ext xmlns:c16="http://schemas.microsoft.com/office/drawing/2014/chart" uri="{C3380CC4-5D6E-409C-BE32-E72D297353CC}">
              <c16:uniqueId val="{00000020-FD98-42C2-B976-CC19DFBEEE17}"/>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'3. EMPLEO Y ACTIVIDAD ECONÓMICA'!$B$4:$C$4</c:f>
              <c:strCache>
                <c:ptCount val="2"/>
                <c:pt idx="0">
                  <c:v>Hombres (%)</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'3. EMPLEO Y ACTIVIDAD ECONÓMICA'!$D$2:$W$2</c15:sqref>
                  </c15:fullRef>
                </c:ext>
              </c:extLst>
              <c:f>('3. EMPLEO Y ACTIVIDAD ECONÓMICA'!$D$2,'3. EMPLEO Y ACTIVIDAD ECONÓMICA'!$I$2,'3. EMPLEO Y ACTIVIDAD ECONÓMICA'!$N$2,'3. EMPLEO Y ACTIVIDAD ECONÓMICA'!$S$2:$W$2)</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ECONÓMICA'!$D$4:$W$4</c15:sqref>
                  </c15:fullRef>
                </c:ext>
              </c:extLst>
              <c:f>('3. EMPLEO Y ACTIVIDAD ECONÓMICA'!$D$4,'3. EMPLEO Y ACTIVIDAD ECONÓMICA'!$I$4,'3. EMPLEO Y ACTIVIDAD ECONÓMICA'!$N$4,'3. EMPLEO Y ACTIVIDAD ECONÓMICA'!$S$4:$W$4)</c:f>
              <c:numCache>
                <c:formatCode>0.0</c:formatCode>
                <c:ptCount val="8"/>
                <c:pt idx="0">
                  <c:v>82.06</c:v>
                </c:pt>
                <c:pt idx="1">
                  <c:v>85.19</c:v>
                </c:pt>
                <c:pt idx="2">
                  <c:v>82.68</c:v>
                </c:pt>
                <c:pt idx="3">
                  <c:v>80.599999999999994</c:v>
                </c:pt>
                <c:pt idx="4">
                  <c:v>81.575834693862618</c:v>
                </c:pt>
                <c:pt idx="5">
                  <c:v>83.583882555873927</c:v>
                </c:pt>
                <c:pt idx="6">
                  <c:v>83.363624882301679</c:v>
                </c:pt>
                <c:pt idx="7">
                  <c:v>83.36895470649776</c:v>
                </c:pt>
              </c:numCache>
            </c:numRef>
          </c:val>
          <c:smooth val="0"/>
          <c:extLst>
            <c:ext xmlns:c16="http://schemas.microsoft.com/office/drawing/2014/chart" uri="{C3380CC4-5D6E-409C-BE32-E72D297353CC}">
              <c16:uniqueId val="{00000001-BB1B-491F-8333-C8DDBC889592}"/>
            </c:ext>
          </c:extLst>
        </c:ser>
        <c:ser>
          <c:idx val="1"/>
          <c:order val="1"/>
          <c:tx>
            <c:strRef>
              <c:f>'3. EMPLEO Y ACTIVIDAD ECONÓMICA'!$B$5:$C$5</c:f>
              <c:strCache>
                <c:ptCount val="2"/>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'3. EMPLEO Y ACTIVIDAD ECONÓMICA'!$D$2:$W$2</c15:sqref>
                  </c15:fullRef>
                </c:ext>
              </c:extLst>
              <c:f>('3. EMPLEO Y ACTIVIDAD ECONÓMICA'!$D$2,'3. EMPLEO Y ACTIVIDAD ECONÓMICA'!$I$2,'3. EMPLEO Y ACTIVIDAD ECONÓMICA'!$N$2,'3. EMPLEO Y ACTIVIDAD ECONÓMICA'!$S$2:$W$2)</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ECONÓMICA'!$D$5:$W$5</c15:sqref>
                  </c15:fullRef>
                </c:ext>
              </c:extLst>
              <c:f>('3. EMPLEO Y ACTIVIDAD ECONÓMICA'!$D$5,'3. EMPLEO Y ACTIVIDAD ECONÓMICA'!$I$5,'3. EMPLEO Y ACTIVIDAD ECONÓMICA'!$N$5,'3. EMPLEO Y ACTIVIDAD ECONÓMICA'!$S$5:$W$5)</c:f>
              <c:numCache>
                <c:formatCode>0.0</c:formatCode>
                <c:ptCount val="8"/>
                <c:pt idx="0">
                  <c:v>68.400000000000006</c:v>
                </c:pt>
                <c:pt idx="1">
                  <c:v>75.75</c:v>
                </c:pt>
                <c:pt idx="2">
                  <c:v>77.78</c:v>
                </c:pt>
                <c:pt idx="3">
                  <c:v>75.290000000000006</c:v>
                </c:pt>
                <c:pt idx="4">
                  <c:v>78.121245628735011</c:v>
                </c:pt>
                <c:pt idx="5">
                  <c:v>77.475267882443532</c:v>
                </c:pt>
                <c:pt idx="6">
                  <c:v>78.566665912184305</c:v>
                </c:pt>
                <c:pt idx="7">
                  <c:v>79.42981955868585</c:v>
                </c:pt>
              </c:numCache>
            </c:numRef>
          </c:val>
          <c:smooth val="0"/>
          <c:extLst>
            <c:ext xmlns:c16="http://schemas.microsoft.com/office/drawing/2014/chart" uri="{C3380CC4-5D6E-409C-BE32-E72D297353CC}">
              <c16:uniqueId val="{0000001F-FD98-42C2-B976-CC19DFBEEE17}"/>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solidFill>
            <a:schemeClr val="bg1">
              <a:alpha val="4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it-IT" sz="1200" b="1"/>
              <a:t>3.2.</a:t>
            </a:r>
            <a:r>
              <a:rPr lang="it-IT" sz="1200" b="1" baseline="0"/>
              <a:t> </a:t>
            </a:r>
            <a:r>
              <a:rPr lang="it-IT" sz="1200" b="1"/>
              <a:t>Tasa de empleo de 16 a 64 años</a:t>
            </a:r>
          </a:p>
        </c:rich>
      </c:tx>
      <c:layout>
        <c:manualLayout>
          <c:xMode val="edge"/>
          <c:yMode val="edge"/>
          <c:x val="0.31156039741761749"/>
          <c:y val="2.3307298664710822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'3. EMPLEO Y ACTIVIDAD ECONÓMICA'!$B$11:$C$11</c:f>
              <c:strCache>
                <c:ptCount val="2"/>
                <c:pt idx="0">
                  <c:v>Brecha (punt.porc.)</c:v>
                </c:pt>
              </c:strCache>
            </c:strRef>
          </c:tx>
          <c:spPr>
            <a:solidFill>
              <a:srgbClr val="FF8989"/>
            </a:solidFill>
            <a:ln>
              <a:noFill/>
            </a:ln>
            <a:effectLst/>
          </c:spPr>
          <c:invertIfNegative val="0"/>
          <c:dLbls>
            <c:dLbl>
              <c:idx val="0"/>
              <c:layout>
                <c:manualLayout>
                  <c:x val="0"/>
                  <c:y val="4.4359187870591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BA-45E8-A718-572BBF5F523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ECONÓMICA'!$D$11:$W$11</c15:sqref>
                  </c15:fullRef>
                </c:ext>
              </c:extLst>
              <c:f>('3. EMPLEO Y ACTIVIDAD ECONÓMICA'!$D$11,'3. EMPLEO Y ACTIVIDAD ECONÓMICA'!$I$11,'3. EMPLEO Y ACTIVIDAD ECONÓMICA'!$N$11,'3. EMPLEO Y ACTIVIDAD ECONÓMICA'!$S$11:$W$11)</c:f>
              <c:numCache>
                <c:formatCode>0.0</c:formatCode>
                <c:ptCount val="8"/>
                <c:pt idx="0">
                  <c:v>-12.729999999999997</c:v>
                </c:pt>
                <c:pt idx="1">
                  <c:v>-7.654039271347699</c:v>
                </c:pt>
                <c:pt idx="2">
                  <c:v>-2.5432851047858236</c:v>
                </c:pt>
                <c:pt idx="3">
                  <c:v>-5.8135226066523842</c:v>
                </c:pt>
                <c:pt idx="4">
                  <c:v>-5.0308795415118368</c:v>
                </c:pt>
                <c:pt idx="5">
                  <c:v>-8.6177882412804792</c:v>
                </c:pt>
                <c:pt idx="6">
                  <c:v>-5.3128370882934632</c:v>
                </c:pt>
                <c:pt idx="7">
                  <c:v>-2.8225563934499434</c:v>
                </c:pt>
              </c:numCache>
            </c:numRef>
          </c:val>
          <c:extLst>
            <c:ext xmlns:c16="http://schemas.microsoft.com/office/drawing/2014/chart" uri="{C3380CC4-5D6E-409C-BE32-E72D297353CC}">
              <c16:uniqueId val="{0000001F-6D79-43FD-9D8B-85C9017D8C75}"/>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'3. EMPLEO Y ACTIVIDAD ECONÓMICA'!$B$9:$C$9</c:f>
              <c:strCache>
                <c:ptCount val="2"/>
                <c:pt idx="0">
                  <c:v>Hombres (%)</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ECONÓMICA'!$D$9:$W$9</c15:sqref>
                  </c15:fullRef>
                </c:ext>
              </c:extLst>
              <c:f>('3. EMPLEO Y ACTIVIDAD ECONÓMICA'!$D$9,'3. EMPLEO Y ACTIVIDAD ECONÓMICA'!$I$9,'3. EMPLEO Y ACTIVIDAD ECONÓMICA'!$N$9,'3. EMPLEO Y ACTIVIDAD ECONÓMICA'!$S$9:$W$9)</c:f>
              <c:numCache>
                <c:formatCode>0.0</c:formatCode>
                <c:ptCount val="8"/>
                <c:pt idx="0">
                  <c:v>76.69</c:v>
                </c:pt>
                <c:pt idx="1">
                  <c:v>72.309913378248311</c:v>
                </c:pt>
                <c:pt idx="2">
                  <c:v>68.089670706854037</c:v>
                </c:pt>
                <c:pt idx="3">
                  <c:v>70.683818551117128</c:v>
                </c:pt>
                <c:pt idx="4">
                  <c:v>73.229762709469739</c:v>
                </c:pt>
                <c:pt idx="5">
                  <c:v>75.917120127213607</c:v>
                </c:pt>
                <c:pt idx="6">
                  <c:v>75.817160803031385</c:v>
                </c:pt>
                <c:pt idx="7">
                  <c:v>75.817644423397567</c:v>
                </c:pt>
              </c:numCache>
            </c:numRef>
          </c:val>
          <c:smooth val="0"/>
          <c:extLst>
            <c:ext xmlns:c16="http://schemas.microsoft.com/office/drawing/2014/chart" uri="{C3380CC4-5D6E-409C-BE32-E72D297353CC}">
              <c16:uniqueId val="{00000007-B7EA-4A0D-8C34-223AA3D6DF76}"/>
            </c:ext>
          </c:extLst>
        </c:ser>
        <c:ser>
          <c:idx val="1"/>
          <c:order val="1"/>
          <c:tx>
            <c:strRef>
              <c:f>'3. EMPLEO Y ACTIVIDAD ECONÓMICA'!$B$10:$C$10</c:f>
              <c:strCache>
                <c:ptCount val="2"/>
                <c:pt idx="0">
                  <c:v>Mujeres (%)</c:v>
                </c:pt>
              </c:strCache>
            </c:strRef>
          </c:tx>
          <c:spPr>
            <a:ln w="19050" cap="rnd">
              <a:solidFill>
                <a:srgbClr val="C00000">
                  <a:alpha val="95000"/>
                </a:srgbClr>
              </a:solidFill>
              <a:round/>
            </a:ln>
            <a:effectLst/>
          </c:spPr>
          <c:marker>
            <c:symbol val="circle"/>
            <c:size val="5"/>
            <c:spPr>
              <a:solidFill>
                <a:srgbClr val="C00000"/>
              </a:solidFill>
              <a:ln w="12700">
                <a:noFill/>
              </a:ln>
              <a:effectLst/>
            </c:spPr>
          </c:marker>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ECONÓMICA'!$D$10:$W$10</c15:sqref>
                  </c15:fullRef>
                </c:ext>
              </c:extLst>
              <c:f>('3. EMPLEO Y ACTIVIDAD ECONÓMICA'!$D$10,'3. EMPLEO Y ACTIVIDAD ECONÓMICA'!$I$10,'3. EMPLEO Y ACTIVIDAD ECONÓMICA'!$N$10,'3. EMPLEO Y ACTIVIDAD ECONÓMICA'!$S$10:$W$10)</c:f>
              <c:numCache>
                <c:formatCode>0.0</c:formatCode>
                <c:ptCount val="8"/>
                <c:pt idx="0">
                  <c:v>63.96</c:v>
                </c:pt>
                <c:pt idx="1">
                  <c:v>64.655874106900612</c:v>
                </c:pt>
                <c:pt idx="2">
                  <c:v>65.546385602068213</c:v>
                </c:pt>
                <c:pt idx="3">
                  <c:v>64.870295944464743</c:v>
                </c:pt>
                <c:pt idx="4">
                  <c:v>68.198883167957902</c:v>
                </c:pt>
                <c:pt idx="5">
                  <c:v>67.299331885933128</c:v>
                </c:pt>
                <c:pt idx="6">
                  <c:v>70.504323714737922</c:v>
                </c:pt>
                <c:pt idx="7">
                  <c:v>72.995088029947624</c:v>
                </c:pt>
              </c:numCache>
            </c:numRef>
          </c:val>
          <c:smooth val="0"/>
          <c:extLst>
            <c:ext xmlns:c16="http://schemas.microsoft.com/office/drawing/2014/chart" uri="{C3380CC4-5D6E-409C-BE32-E72D297353CC}">
              <c16:uniqueId val="{0000001E-6D79-43FD-9D8B-85C9017D8C75}"/>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4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3.3.</a:t>
            </a:r>
            <a:r>
              <a:rPr lang="it-IT" sz="1200" b="1" baseline="0"/>
              <a:t> </a:t>
            </a:r>
            <a:r>
              <a:rPr lang="it-IT" sz="1200" b="1"/>
              <a:t>Tasa de paro de 16 a 64 años</a:t>
            </a:r>
          </a:p>
        </c:rich>
      </c:tx>
      <c:layout>
        <c:manualLayout>
          <c:xMode val="edge"/>
          <c:yMode val="edge"/>
          <c:x val="0.33859335647175348"/>
          <c:y val="2.777778638406377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'3. EMPLEO Y ACTIVIDAD ECONÓMICA'!$B$11:$C$11</c:f>
              <c:strCache>
                <c:ptCount val="2"/>
                <c:pt idx="0">
                  <c:v>Brecha (punt.porc.)</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ECONÓMICA'!$D$11:$W$11</c15:sqref>
                  </c15:fullRef>
                </c:ext>
              </c:extLst>
              <c:f>('3. EMPLEO Y ACTIVIDAD ECONÓMICA'!$D$11,'3. EMPLEO Y ACTIVIDAD ECONÓMICA'!$I$11,'3. EMPLEO Y ACTIVIDAD ECONÓMICA'!$N$11,'3. EMPLEO Y ACTIVIDAD ECONÓMICA'!$S$11:$W$11)</c:f>
              <c:numCache>
                <c:formatCode>0.0</c:formatCode>
                <c:ptCount val="8"/>
                <c:pt idx="0">
                  <c:v>-12.729999999999997</c:v>
                </c:pt>
                <c:pt idx="1">
                  <c:v>-7.654039271347699</c:v>
                </c:pt>
                <c:pt idx="2">
                  <c:v>-2.5432851047858236</c:v>
                </c:pt>
                <c:pt idx="3">
                  <c:v>-5.8135226066523842</c:v>
                </c:pt>
                <c:pt idx="4">
                  <c:v>-5.0308795415118368</c:v>
                </c:pt>
                <c:pt idx="5">
                  <c:v>-8.6177882412804792</c:v>
                </c:pt>
                <c:pt idx="6">
                  <c:v>-5.3128370882934632</c:v>
                </c:pt>
                <c:pt idx="7">
                  <c:v>-2.8225563934499434</c:v>
                </c:pt>
              </c:numCache>
            </c:numRef>
          </c:val>
          <c:extLst>
            <c:ext xmlns:c16="http://schemas.microsoft.com/office/drawing/2014/chart" uri="{C3380CC4-5D6E-409C-BE32-E72D297353CC}">
              <c16:uniqueId val="{00000015-06EA-49BC-99BB-6123BE7BFDFE}"/>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'3. EMPLEO Y ACTIVIDAD ECONÓMICA'!$B$9:$C$9</c:f>
              <c:strCache>
                <c:ptCount val="2"/>
                <c:pt idx="0">
                  <c:v>Hombres (%)</c:v>
                </c:pt>
              </c:strCache>
            </c:strRef>
          </c:tx>
          <c:spPr>
            <a:ln w="19050" cap="flat">
              <a:solidFill>
                <a:schemeClr val="bg2">
                  <a:lumMod val="50000"/>
                </a:schemeClr>
              </a:solidFill>
              <a:miter lim="800000"/>
            </a:ln>
            <a:effectLst/>
          </c:spPr>
          <c:marker>
            <c:symbol val="circle"/>
            <c:size val="5"/>
            <c:spPr>
              <a:solidFill>
                <a:schemeClr val="bg2">
                  <a:lumMod val="50000"/>
                </a:schemeClr>
              </a:solidFill>
              <a:ln w="9525">
                <a:solidFill>
                  <a:schemeClr val="bg2">
                    <a:lumMod val="50000"/>
                  </a:schemeClr>
                </a:solidFill>
                <a:miter lim="800000"/>
              </a:ln>
              <a:effectLst/>
            </c:spPr>
          </c:marker>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ECONÓMICA'!$D$9:$W$9</c15:sqref>
                  </c15:fullRef>
                </c:ext>
              </c:extLst>
              <c:f>('3. EMPLEO Y ACTIVIDAD ECONÓMICA'!$D$9,'3. EMPLEO Y ACTIVIDAD ECONÓMICA'!$I$9,'3. EMPLEO Y ACTIVIDAD ECONÓMICA'!$N$9,'3. EMPLEO Y ACTIVIDAD ECONÓMICA'!$S$9:$W$9)</c:f>
              <c:numCache>
                <c:formatCode>0.0</c:formatCode>
                <c:ptCount val="8"/>
                <c:pt idx="0">
                  <c:v>76.69</c:v>
                </c:pt>
                <c:pt idx="1">
                  <c:v>72.309913378248311</c:v>
                </c:pt>
                <c:pt idx="2">
                  <c:v>68.089670706854037</c:v>
                </c:pt>
                <c:pt idx="3">
                  <c:v>70.683818551117128</c:v>
                </c:pt>
                <c:pt idx="4">
                  <c:v>73.229762709469739</c:v>
                </c:pt>
                <c:pt idx="5">
                  <c:v>75.917120127213607</c:v>
                </c:pt>
                <c:pt idx="6">
                  <c:v>75.817160803031385</c:v>
                </c:pt>
                <c:pt idx="7">
                  <c:v>75.817644423397567</c:v>
                </c:pt>
              </c:numCache>
            </c:numRef>
          </c:val>
          <c:smooth val="0"/>
          <c:extLst>
            <c:ext xmlns:c16="http://schemas.microsoft.com/office/drawing/2014/chart" uri="{C3380CC4-5D6E-409C-BE32-E72D297353CC}">
              <c16:uniqueId val="{00000002-5CF3-4109-A1F1-CE4E943875E1}"/>
            </c:ext>
          </c:extLst>
        </c:ser>
        <c:ser>
          <c:idx val="1"/>
          <c:order val="1"/>
          <c:tx>
            <c:strRef>
              <c:f>'3. EMPLEO Y ACTIVIDAD ECONÓMICA'!$B$10:$C$10</c:f>
              <c:strCache>
                <c:ptCount val="2"/>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'3. EMPLEO Y ACTIVIDAD ECONÓMICA'!$D$7:$W$7</c15:sqref>
                  </c15:fullRef>
                </c:ext>
              </c:extLst>
              <c:f>('3. EMPLEO Y ACTIVIDAD ECONÓMICA'!$D$7,'3. EMPLEO Y ACTIVIDAD ECONÓMICA'!$I$7,'3. EMPLEO Y ACTIVIDAD ECONÓMICA'!$N$7,'3. EMPLEO Y ACTIVIDAD ECONÓMICA'!$S$7:$W$7)</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ECONÓMICA'!$D$10:$W$10</c15:sqref>
                  </c15:fullRef>
                </c:ext>
              </c:extLst>
              <c:f>('3. EMPLEO Y ACTIVIDAD ECONÓMICA'!$D$10,'3. EMPLEO Y ACTIVIDAD ECONÓMICA'!$I$10,'3. EMPLEO Y ACTIVIDAD ECONÓMICA'!$N$10,'3. EMPLEO Y ACTIVIDAD ECONÓMICA'!$S$10:$W$10)</c:f>
              <c:numCache>
                <c:formatCode>0.0</c:formatCode>
                <c:ptCount val="8"/>
                <c:pt idx="0">
                  <c:v>63.96</c:v>
                </c:pt>
                <c:pt idx="1">
                  <c:v>64.655874106900612</c:v>
                </c:pt>
                <c:pt idx="2">
                  <c:v>65.546385602068213</c:v>
                </c:pt>
                <c:pt idx="3">
                  <c:v>64.870295944464743</c:v>
                </c:pt>
                <c:pt idx="4">
                  <c:v>68.198883167957902</c:v>
                </c:pt>
                <c:pt idx="5">
                  <c:v>67.299331885933128</c:v>
                </c:pt>
                <c:pt idx="6">
                  <c:v>70.504323714737922</c:v>
                </c:pt>
                <c:pt idx="7">
                  <c:v>72.995088029947624</c:v>
                </c:pt>
              </c:numCache>
            </c:numRef>
          </c:val>
          <c:smooth val="0"/>
          <c:extLst>
            <c:ext xmlns:c16="http://schemas.microsoft.com/office/drawing/2014/chart" uri="{C3380CC4-5D6E-409C-BE32-E72D297353CC}">
              <c16:uniqueId val="{00000014-06EA-49BC-99BB-6123BE7BFDFE}"/>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1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90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3.6. Porcentaje de personas ocupadas en puestos no cualificados</a:t>
            </a:r>
          </a:p>
        </c:rich>
      </c:tx>
      <c:layout>
        <c:manualLayout>
          <c:xMode val="edge"/>
          <c:yMode val="edge"/>
          <c:x val="0.2427082883619584"/>
          <c:y val="2.77778549916778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9025753866097736"/>
          <c:y val="0.12512375681171675"/>
          <c:w val="0.78682994418333685"/>
          <c:h val="0.54224810868209294"/>
        </c:manualLayout>
      </c:layout>
      <c:barChart>
        <c:barDir val="col"/>
        <c:grouping val="stacked"/>
        <c:varyColors val="0"/>
        <c:ser>
          <c:idx val="3"/>
          <c:order val="2"/>
          <c:tx>
            <c:strRef>
              <c:f>'3. EMPLEO Y ACTIVIDAD ECONÓMICA'!$B$288:$C$288</c:f>
              <c:strCache>
                <c:ptCount val="2"/>
                <c:pt idx="0">
                  <c:v>Brecha (punt.porc.)</c:v>
                </c:pt>
              </c:strCache>
            </c:strRef>
          </c:tx>
          <c:spPr>
            <a:solidFill>
              <a:srgbClr val="FF8989"/>
            </a:solidFill>
            <a:ln>
              <a:noFill/>
            </a:ln>
            <a:effectLst/>
          </c:spPr>
          <c:invertIfNegative val="0"/>
          <c:val>
            <c:numRef>
              <c:f>'3. EMPLEO Y ACTIVIDAD ECONÓMICA'!$S$288:$W$288</c:f>
              <c:numCache>
                <c:formatCode>0.0</c:formatCode>
                <c:ptCount val="5"/>
                <c:pt idx="0">
                  <c:v>8.666897980094344</c:v>
                </c:pt>
                <c:pt idx="1">
                  <c:v>9.2642339433082164</c:v>
                </c:pt>
                <c:pt idx="2">
                  <c:v>8.9121578404321369</c:v>
                </c:pt>
                <c:pt idx="3">
                  <c:v>7.7698340899853102</c:v>
                </c:pt>
                <c:pt idx="4">
                  <c:v>8.352489464078511</c:v>
                </c:pt>
              </c:numCache>
            </c:numRef>
          </c:val>
          <c:extLst>
            <c:ext xmlns:c16="http://schemas.microsoft.com/office/drawing/2014/chart" uri="{C3380CC4-5D6E-409C-BE32-E72D297353CC}">
              <c16:uniqueId val="{00000002-A502-401F-9DB4-2E68664C2ED7}"/>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1"/>
          <c:order val="0"/>
          <c:tx>
            <c:strRef>
              <c:f>'3. EMPLEO Y ACTIVIDAD ECONÓMICA'!$B$286:$C$286</c:f>
              <c:strCache>
                <c:ptCount val="2"/>
                <c:pt idx="0">
                  <c:v>Hombres (%)</c:v>
                </c:pt>
              </c:strCache>
            </c:strRef>
          </c:tx>
          <c:spPr>
            <a:ln w="19050" cap="flat">
              <a:solidFill>
                <a:schemeClr val="tx1">
                  <a:lumMod val="50000"/>
                  <a:lumOff val="50000"/>
                </a:schemeClr>
              </a:solidFill>
              <a:miter lim="800000"/>
            </a:ln>
            <a:effectLst/>
          </c:spPr>
          <c:marker>
            <c:symbol val="circle"/>
            <c:size val="5"/>
            <c:spPr>
              <a:solidFill>
                <a:schemeClr val="tx1">
                  <a:lumMod val="50000"/>
                  <a:lumOff val="50000"/>
                </a:schemeClr>
              </a:solidFill>
              <a:ln w="12700">
                <a:noFill/>
                <a:miter lim="800000"/>
              </a:ln>
              <a:effectLst/>
            </c:spPr>
          </c:marker>
          <c:cat>
            <c:numRef>
              <c:f>'3. EMPLEO Y ACTIVIDAD ECONÓMICA'!$S$284:$W$284</c:f>
              <c:numCache>
                <c:formatCode>General</c:formatCode>
                <c:ptCount val="5"/>
                <c:pt idx="0">
                  <c:v>2020</c:v>
                </c:pt>
                <c:pt idx="1">
                  <c:v>2021</c:v>
                </c:pt>
                <c:pt idx="2">
                  <c:v>2022</c:v>
                </c:pt>
                <c:pt idx="3">
                  <c:v>2023</c:v>
                </c:pt>
                <c:pt idx="4">
                  <c:v>2024</c:v>
                </c:pt>
              </c:numCache>
            </c:numRef>
          </c:cat>
          <c:val>
            <c:numRef>
              <c:f>'3. EMPLEO Y ACTIVIDAD ECONÓMICA'!$S$286:$W$286</c:f>
              <c:numCache>
                <c:formatCode>0.0</c:formatCode>
                <c:ptCount val="5"/>
                <c:pt idx="0">
                  <c:v>5.0389680193496371</c:v>
                </c:pt>
                <c:pt idx="1">
                  <c:v>5.1733333333333329</c:v>
                </c:pt>
                <c:pt idx="2">
                  <c:v>5.4582125299382325</c:v>
                </c:pt>
                <c:pt idx="3">
                  <c:v>6.3754282917278511</c:v>
                </c:pt>
                <c:pt idx="4">
                  <c:v>5.8904581467447468</c:v>
                </c:pt>
              </c:numCache>
            </c:numRef>
          </c:val>
          <c:smooth val="0"/>
          <c:extLst>
            <c:ext xmlns:c16="http://schemas.microsoft.com/office/drawing/2014/chart" uri="{C3380CC4-5D6E-409C-BE32-E72D297353CC}">
              <c16:uniqueId val="{00000000-A502-401F-9DB4-2E68664C2ED7}"/>
            </c:ext>
          </c:extLst>
        </c:ser>
        <c:ser>
          <c:idx val="2"/>
          <c:order val="1"/>
          <c:tx>
            <c:strRef>
              <c:f>'3. EMPLEO Y ACTIVIDAD ECONÓMICA'!$B$287:$C$287</c:f>
              <c:strCache>
                <c:ptCount val="2"/>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f>'3. EMPLEO Y ACTIVIDAD ECONÓMICA'!$S$284:$W$284</c:f>
              <c:numCache>
                <c:formatCode>General</c:formatCode>
                <c:ptCount val="5"/>
                <c:pt idx="0">
                  <c:v>2020</c:v>
                </c:pt>
                <c:pt idx="1">
                  <c:v>2021</c:v>
                </c:pt>
                <c:pt idx="2">
                  <c:v>2022</c:v>
                </c:pt>
                <c:pt idx="3">
                  <c:v>2023</c:v>
                </c:pt>
                <c:pt idx="4">
                  <c:v>2024</c:v>
                </c:pt>
              </c:numCache>
            </c:numRef>
          </c:cat>
          <c:val>
            <c:numRef>
              <c:f>'3. EMPLEO Y ACTIVIDAD ECONÓMICA'!$S$287:$W$287</c:f>
              <c:numCache>
                <c:formatCode>0.0</c:formatCode>
                <c:ptCount val="5"/>
                <c:pt idx="0">
                  <c:v>13.705865999443981</c:v>
                </c:pt>
                <c:pt idx="1">
                  <c:v>14.437567276641548</c:v>
                </c:pt>
                <c:pt idx="2">
                  <c:v>14.37037037037037</c:v>
                </c:pt>
                <c:pt idx="3">
                  <c:v>14.145262381713161</c:v>
                </c:pt>
                <c:pt idx="4">
                  <c:v>14.242947610823258</c:v>
                </c:pt>
              </c:numCache>
            </c:numRef>
          </c:val>
          <c:smooth val="0"/>
          <c:extLst>
            <c:ext xmlns:c16="http://schemas.microsoft.com/office/drawing/2014/chart" uri="{C3380CC4-5D6E-409C-BE32-E72D297353CC}">
              <c16:uniqueId val="{00000001-A502-401F-9DB4-2E68664C2ED7}"/>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it-IT" sz="1200" b="1"/>
              <a:t>3.7. Paro</a:t>
            </a:r>
            <a:r>
              <a:rPr lang="it-IT" sz="1200" b="1" baseline="0"/>
              <a:t> registrado</a:t>
            </a:r>
            <a:endParaRPr lang="it-IT" sz="1200" b="1"/>
          </a:p>
        </c:rich>
      </c:tx>
      <c:layout>
        <c:manualLayout>
          <c:xMode val="edge"/>
          <c:yMode val="edge"/>
          <c:x val="0.43644530487408084"/>
          <c:y val="2.94185924119842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'3. EMPLEO Y ACTIVIDAD ECONÓMICA'!$B$293:$C$293</c:f>
              <c:strCache>
                <c:ptCount val="2"/>
                <c:pt idx="0">
                  <c:v>Brecha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ECONÓMICA'!$D$289:$W$289</c15:sqref>
                  </c15:fullRef>
                </c:ext>
              </c:extLst>
              <c:f>('3. EMPLEO Y ACTIVIDAD ECONÓMICA'!$D$289,'3. EMPLEO Y ACTIVIDAD ECONÓMICA'!$I$289,'3. EMPLEO Y ACTIVIDAD ECONÓMICA'!$N$289,'3. EMPLEO Y ACTIVIDAD ECONÓMICA'!$S$289:$W$289)</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ECONÓMICA'!$D$293:$W$293</c15:sqref>
                  </c15:fullRef>
                </c:ext>
              </c:extLst>
              <c:f>('3. EMPLEO Y ACTIVIDAD ECONÓMICA'!$D$293,'3. EMPLEO Y ACTIVIDAD ECONÓMICA'!$I$293,'3. EMPLEO Y ACTIVIDAD ECONÓMICA'!$N$293,'3. EMPLEO Y ACTIVIDAD ECONÓMICA'!$S$293:$W$293)</c:f>
              <c:numCache>
                <c:formatCode>_-* #,##0_-;\-* #,##0_-;_-* "-"??_-;_-@_-</c:formatCode>
                <c:ptCount val="8"/>
                <c:pt idx="0">
                  <c:v>19724</c:v>
                </c:pt>
                <c:pt idx="1">
                  <c:v>-2699</c:v>
                </c:pt>
                <c:pt idx="2">
                  <c:v>10667</c:v>
                </c:pt>
                <c:pt idx="3">
                  <c:v>22890</c:v>
                </c:pt>
                <c:pt idx="4">
                  <c:v>26370</c:v>
                </c:pt>
                <c:pt idx="5">
                  <c:v>22893</c:v>
                </c:pt>
                <c:pt idx="6">
                  <c:v>22764</c:v>
                </c:pt>
                <c:pt idx="7">
                  <c:v>21030</c:v>
                </c:pt>
              </c:numCache>
            </c:numRef>
          </c:val>
          <c:extLst>
            <c:ext xmlns:c15="http://schemas.microsoft.com/office/drawing/2012/chart" uri="{02D57815-91ED-43cb-92C2-25804820EDAC}">
              <c15:categoryFilterExceptions>
                <c15:categoryFilterException>
                  <c15:sqref>'3. EMPLEO Y ACTIVIDAD ECONÓMICA'!$E$293</c15:sqref>
                  <c15:dLbl>
                    <c:idx val="0"/>
                    <c:layout>
                      <c:manualLayout>
                        <c:x val="-3.8000410581177915E-17"/>
                        <c:y val="2.6758355555586769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12D4-4CD4-879B-5EFA7EE92FDE}"/>
                      </c:ext>
                    </c:extLst>
                  </c15:dLbl>
                </c15:categoryFilterException>
              </c15:categoryFilterExceptions>
            </c:ext>
            <c:ext xmlns:c16="http://schemas.microsoft.com/office/drawing/2014/chart" uri="{C3380CC4-5D6E-409C-BE32-E72D297353CC}">
              <c16:uniqueId val="{00000001-5383-446F-85E0-444D02495BA6}"/>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'3. EMPLEO Y ACTIVIDAD ECONÓMICA'!$B$291:$C$291</c:f>
              <c:strCache>
                <c:ptCount val="2"/>
                <c:pt idx="0">
                  <c:v>Hombres (N)</c:v>
                </c:pt>
              </c:strCache>
            </c:strRef>
          </c:tx>
          <c:spPr>
            <a:ln w="19050" cap="flat">
              <a:solidFill>
                <a:schemeClr val="bg2">
                  <a:lumMod val="50000"/>
                </a:schemeClr>
              </a:solidFill>
              <a:miter lim="800000"/>
            </a:ln>
            <a:effectLst/>
          </c:spPr>
          <c:marker>
            <c:symbol val="circle"/>
            <c:size val="5"/>
            <c:spPr>
              <a:solidFill>
                <a:schemeClr val="bg2">
                  <a:lumMod val="50000"/>
                </a:schemeClr>
              </a:solidFill>
              <a:ln w="12700">
                <a:solidFill>
                  <a:schemeClr val="bg2">
                    <a:lumMod val="50000"/>
                  </a:schemeClr>
                </a:solidFill>
                <a:miter lim="800000"/>
              </a:ln>
              <a:effectLst/>
            </c:spPr>
          </c:marker>
          <c:cat>
            <c:numRef>
              <c:extLst>
                <c:ext xmlns:c15="http://schemas.microsoft.com/office/drawing/2012/chart" uri="{02D57815-91ED-43cb-92C2-25804820EDAC}">
                  <c15:fullRef>
                    <c15:sqref>'3. EMPLEO Y ACTIVIDAD ECONÓMICA'!$D$289:$W$289</c15:sqref>
                  </c15:fullRef>
                </c:ext>
              </c:extLst>
              <c:f>('3. EMPLEO Y ACTIVIDAD ECONÓMICA'!$D$289,'3. EMPLEO Y ACTIVIDAD ECONÓMICA'!$I$289,'3. EMPLEO Y ACTIVIDAD ECONÓMICA'!$N$289,'3. EMPLEO Y ACTIVIDAD ECONÓMICA'!$S$289:$W$289)</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ECONÓMICA'!$D$291:$W$291</c15:sqref>
                  </c15:fullRef>
                </c:ext>
              </c:extLst>
              <c:f>('3. EMPLEO Y ACTIVIDAD ECONÓMICA'!$D$291,'3. EMPLEO Y ACTIVIDAD ECONÓMICA'!$I$291,'3. EMPLEO Y ACTIVIDAD ECONÓMICA'!$N$291,'3. EMPLEO Y ACTIVIDAD ECONÓMICA'!$S$291:$W$291)</c:f>
              <c:numCache>
                <c:formatCode>#,##0</c:formatCode>
                <c:ptCount val="8"/>
                <c:pt idx="0">
                  <c:v>45026</c:v>
                </c:pt>
                <c:pt idx="1" formatCode="_-* #,##0_-;\-* #,##0_-;_-* &quot;-&quot;??_-;_-@_-">
                  <c:v>110939</c:v>
                </c:pt>
                <c:pt idx="2" formatCode="_-* #,##0_-;\-* #,##0_-;_-* &quot;-&quot;??_-;_-@_-">
                  <c:v>100861</c:v>
                </c:pt>
                <c:pt idx="3" formatCode="_-* #,##0_-;\-* #,##0_-;_-* &quot;-&quot;??_-;_-@_-">
                  <c:v>89877</c:v>
                </c:pt>
                <c:pt idx="4" formatCode="_-* #,##0_-;\-* #,##0_-;_-* &quot;-&quot;??_-;_-@_-">
                  <c:v>88248</c:v>
                </c:pt>
                <c:pt idx="5" formatCode="_-* #,##0_-;\-* #,##0_-;_-* &quot;-&quot;??_-;_-@_-">
                  <c:v>60505</c:v>
                </c:pt>
                <c:pt idx="6">
                  <c:v>60066</c:v>
                </c:pt>
                <c:pt idx="7">
                  <c:v>58295</c:v>
                </c:pt>
              </c:numCache>
            </c:numRef>
          </c:val>
          <c:smooth val="0"/>
          <c:extLst>
            <c:ext xmlns:c16="http://schemas.microsoft.com/office/drawing/2014/chart" uri="{C3380CC4-5D6E-409C-BE32-E72D297353CC}">
              <c16:uniqueId val="{00000002-5383-446F-85E0-444D02495BA6}"/>
            </c:ext>
          </c:extLst>
        </c:ser>
        <c:ser>
          <c:idx val="1"/>
          <c:order val="1"/>
          <c:tx>
            <c:strRef>
              <c:f>'3. EMPLEO Y ACTIVIDAD ECONÓMICA'!$B$292:$C$292</c:f>
              <c:strCache>
                <c:ptCount val="2"/>
                <c:pt idx="0">
                  <c:v>Mujeres (N)</c:v>
                </c:pt>
              </c:strCache>
            </c:strRef>
          </c:tx>
          <c:spPr>
            <a:ln w="19050" cap="flat">
              <a:solidFill>
                <a:srgbClr val="C00000"/>
              </a:solidFill>
              <a:miter lim="800000"/>
            </a:ln>
            <a:effectLst/>
          </c:spPr>
          <c:marker>
            <c:symbol val="circle"/>
            <c:size val="5"/>
            <c:spPr>
              <a:solidFill>
                <a:srgbClr val="C00000"/>
              </a:solidFill>
              <a:ln w="12700">
                <a:solidFill>
                  <a:srgbClr val="C00000"/>
                </a:solidFill>
                <a:miter lim="800000"/>
              </a:ln>
              <a:effectLst/>
            </c:spPr>
          </c:marker>
          <c:cat>
            <c:numRef>
              <c:extLst>
                <c:ext xmlns:c15="http://schemas.microsoft.com/office/drawing/2012/chart" uri="{02D57815-91ED-43cb-92C2-25804820EDAC}">
                  <c15:fullRef>
                    <c15:sqref>'3. EMPLEO Y ACTIVIDAD ECONÓMICA'!$D$289:$W$289</c15:sqref>
                  </c15:fullRef>
                </c:ext>
              </c:extLst>
              <c:f>('3. EMPLEO Y ACTIVIDAD ECONÓMICA'!$D$289,'3. EMPLEO Y ACTIVIDAD ECONÓMICA'!$I$289,'3. EMPLEO Y ACTIVIDAD ECONÓMICA'!$N$289,'3. EMPLEO Y ACTIVIDAD ECONÓMICA'!$S$289:$W$289)</c:f>
              <c:numCache>
                <c:formatCode>General</c:formatCode>
                <c:ptCount val="8"/>
                <c:pt idx="0">
                  <c:v>2005</c:v>
                </c:pt>
                <c:pt idx="1">
                  <c:v>2010</c:v>
                </c:pt>
                <c:pt idx="2">
                  <c:v>2015</c:v>
                </c:pt>
                <c:pt idx="3">
                  <c:v>2020</c:v>
                </c:pt>
                <c:pt idx="4">
                  <c:v>2021</c:v>
                </c:pt>
                <c:pt idx="5">
                  <c:v>2022</c:v>
                </c:pt>
                <c:pt idx="6">
                  <c:v>2023</c:v>
                </c:pt>
                <c:pt idx="7">
                  <c:v>2024</c:v>
                </c:pt>
              </c:numCache>
            </c:numRef>
          </c:cat>
          <c:val>
            <c:numRef>
              <c:extLst>
                <c:ext xmlns:c15="http://schemas.microsoft.com/office/drawing/2012/chart" uri="{02D57815-91ED-43cb-92C2-25804820EDAC}">
                  <c15:fullRef>
                    <c15:sqref>'3. EMPLEO Y ACTIVIDAD ECONÓMICA'!$D$292:$W$292</c15:sqref>
                  </c15:fullRef>
                </c:ext>
              </c:extLst>
              <c:f>('3. EMPLEO Y ACTIVIDAD ECONÓMICA'!$D$292,'3. EMPLEO Y ACTIVIDAD ECONÓMICA'!$I$292,'3. EMPLEO Y ACTIVIDAD ECONÓMICA'!$N$292,'3. EMPLEO Y ACTIVIDAD ECONÓMICA'!$S$292:$W$292)</c:f>
              <c:numCache>
                <c:formatCode>#,##0</c:formatCode>
                <c:ptCount val="8"/>
                <c:pt idx="0">
                  <c:v>64750</c:v>
                </c:pt>
                <c:pt idx="1" formatCode="_-* #,##0_-;\-* #,##0_-;_-* &quot;-&quot;??_-;_-@_-">
                  <c:v>108240</c:v>
                </c:pt>
                <c:pt idx="2" formatCode="_-* #,##0_-;\-* #,##0_-;_-* &quot;-&quot;??_-;_-@_-">
                  <c:v>111528</c:v>
                </c:pt>
                <c:pt idx="3" formatCode="_-* #,##0_-;\-* #,##0_-;_-* &quot;-&quot;??_-;_-@_-">
                  <c:v>112767</c:v>
                </c:pt>
                <c:pt idx="4" formatCode="_-* #,##0_-;\-* #,##0_-;_-* &quot;-&quot;??_-;_-@_-">
                  <c:v>114618</c:v>
                </c:pt>
                <c:pt idx="5" formatCode="_-* #,##0_-;\-* #,##0_-;_-* &quot;-&quot;??_-;_-@_-">
                  <c:v>83398</c:v>
                </c:pt>
                <c:pt idx="6">
                  <c:v>82830</c:v>
                </c:pt>
                <c:pt idx="7">
                  <c:v>79325</c:v>
                </c:pt>
              </c:numCache>
            </c:numRef>
          </c:val>
          <c:smooth val="0"/>
          <c:extLst>
            <c:ext xmlns:c16="http://schemas.microsoft.com/office/drawing/2014/chart" uri="{C3380CC4-5D6E-409C-BE32-E72D297353CC}">
              <c16:uniqueId val="{00000003-5383-446F-85E0-444D02495BA6}"/>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solidFill>
            <a:schemeClr val="bg1"/>
          </a:solidFill>
        </a:ln>
        <a:effectLst/>
      </c:spPr>
    </c:plotArea>
    <c:legend>
      <c:legendPos val="b"/>
      <c:layout>
        <c:manualLayout>
          <c:xMode val="edge"/>
          <c:yMode val="edge"/>
          <c:x val="0.47609847208838957"/>
          <c:y val="0.89798458149006266"/>
          <c:w val="0.49966770337989402"/>
          <c:h val="7.52574141092639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3.8. Personas afiliadas en el sistema especial para "Empleados de hogar"</a:t>
            </a:r>
          </a:p>
        </c:rich>
      </c:tx>
      <c:layout>
        <c:manualLayout>
          <c:xMode val="edge"/>
          <c:yMode val="edge"/>
          <c:x val="0.21085556904781061"/>
          <c:y val="2.8414505815279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'3. EMPLEO Y ACTIVIDAD ECONÓMICA'!$B$299:$C$299</c:f>
              <c:strCache>
                <c:ptCount val="2"/>
                <c:pt idx="0">
                  <c:v>Brecha (N)</c:v>
                </c:pt>
              </c:strCache>
            </c:strRef>
          </c:tx>
          <c:spPr>
            <a:solidFill>
              <a:srgbClr val="FF8989">
                <a:alpha val="80000"/>
              </a:srgbClr>
            </a:solidFill>
            <a:ln>
              <a:noFill/>
            </a:ln>
            <a:effectLst/>
          </c:spPr>
          <c:invertIfNegative val="0"/>
          <c:dLbls>
            <c:dLbl>
              <c:idx val="3"/>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extLst>
                <c:ext xmlns:c15="http://schemas.microsoft.com/office/drawing/2012/chart" uri="{CE6537A1-D6FC-4f65-9D91-7224C49458BB}">
                  <c15:layout>
                    <c:manualLayout>
                      <c:w val="8.8038529886869749E-2"/>
                      <c:h val="7.0112007533236986E-2"/>
                    </c:manualLayout>
                  </c15:layout>
                </c:ext>
                <c:ext xmlns:c16="http://schemas.microsoft.com/office/drawing/2014/chart" uri="{C3380CC4-5D6E-409C-BE32-E72D297353CC}">
                  <c16:uniqueId val="{00000000-2E85-4558-99EC-1D5A6200DC7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ECONÓMICA'!$I$295:$W$295</c15:sqref>
                  </c15:fullRef>
                </c:ext>
              </c:extLst>
              <c:f>('3. EMPLEO Y ACTIVIDAD ECONÓMICA'!$I$295,'3. EMPLEO Y ACTIVIDAD ECONÓMICA'!$N$295,'3. EMPLEO Y ACTIVIDAD ECONÓMICA'!$S$295:$W$295)</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'3. EMPLEO Y ACTIVIDAD ECONÓMICA'!$I$299:$W$299</c15:sqref>
                  </c15:fullRef>
                </c:ext>
              </c:extLst>
              <c:f>('3. EMPLEO Y ACTIVIDAD ECONÓMICA'!$I$299,'3. EMPLEO Y ACTIVIDAD ECONÓMICA'!$N$299,'3. EMPLEO Y ACTIVIDAD ECONÓMICA'!$S$299:$W$299)</c:f>
              <c:numCache>
                <c:formatCode>General</c:formatCode>
                <c:ptCount val="7"/>
                <c:pt idx="0" formatCode="_-* #,##0_-;\-* #,##0_-;_-* &quot;-&quot;??_-;_-@_-">
                  <c:v>38935</c:v>
                </c:pt>
                <c:pt idx="1" formatCode="_-* #,##0_-;\-* #,##0_-;_-* &quot;-&quot;??_-;_-@_-">
                  <c:v>70096</c:v>
                </c:pt>
                <c:pt idx="2" formatCode="_-* #,##0_-;\-* #,##0_-;_-* &quot;-&quot;??_-;_-@_-">
                  <c:v>64608</c:v>
                </c:pt>
                <c:pt idx="3" formatCode="_-* #,##0_-;\-* #,##0_-;_-* &quot;-&quot;??_-;_-@_-">
                  <c:v>56582</c:v>
                </c:pt>
                <c:pt idx="4" formatCode="_-* #,##0_-;\-* #,##0_-;_-* &quot;-&quot;??_-;_-@_-">
                  <c:v>56732</c:v>
                </c:pt>
                <c:pt idx="5" formatCode="_-* #,##0_-;\-* #,##0_-;_-* &quot;-&quot;??_-;_-@_-">
                  <c:v>57583</c:v>
                </c:pt>
                <c:pt idx="6" formatCode="_-* #,##0_-;\-* #,##0_-;_-* &quot;-&quot;??_-;_-@_-">
                  <c:v>54216</c:v>
                </c:pt>
              </c:numCache>
            </c:numRef>
          </c:val>
          <c:extLst>
            <c:ext xmlns:c16="http://schemas.microsoft.com/office/drawing/2014/chart" uri="{C3380CC4-5D6E-409C-BE32-E72D297353CC}">
              <c16:uniqueId val="{00000004-C237-4AB8-ACB2-0F0321F02D98}"/>
            </c:ext>
          </c:extLst>
        </c:ser>
        <c:dLbls>
          <c:showLegendKey val="0"/>
          <c:showVal val="0"/>
          <c:showCatName val="0"/>
          <c:showSerName val="0"/>
          <c:showPercent val="0"/>
          <c:showBubbleSize val="0"/>
        </c:dLbls>
        <c:gapWidth val="201"/>
        <c:overlap val="100"/>
        <c:axId val="1178732271"/>
        <c:axId val="1404224031"/>
      </c:barChart>
      <c:lineChart>
        <c:grouping val="standard"/>
        <c:varyColors val="0"/>
        <c:ser>
          <c:idx val="0"/>
          <c:order val="0"/>
          <c:tx>
            <c:strRef>
              <c:f>'3. EMPLEO Y ACTIVIDAD ECONÓMICA'!$B$297:$C$297</c:f>
              <c:strCache>
                <c:ptCount val="2"/>
                <c:pt idx="0">
                  <c:v>Hombres (N)</c:v>
                </c:pt>
              </c:strCache>
            </c:strRef>
          </c:tx>
          <c:spPr>
            <a:ln w="19050" cap="flat">
              <a:solidFill>
                <a:schemeClr val="bg2">
                  <a:lumMod val="50000"/>
                </a:schemeClr>
              </a:solidFill>
              <a:miter lim="800000"/>
            </a:ln>
            <a:effectLst/>
          </c:spPr>
          <c:marker>
            <c:symbol val="circle"/>
            <c:size val="5"/>
            <c:spPr>
              <a:solidFill>
                <a:schemeClr val="bg2">
                  <a:lumMod val="50000"/>
                </a:schemeClr>
              </a:solidFill>
              <a:ln w="12700">
                <a:solidFill>
                  <a:schemeClr val="bg2">
                    <a:lumMod val="50000"/>
                  </a:schemeClr>
                </a:solidFill>
                <a:miter lim="800000"/>
              </a:ln>
              <a:effectLst/>
            </c:spPr>
          </c:marker>
          <c:cat>
            <c:strLit>
              <c:ptCount val="7"/>
              <c:pt idx="0">
                <c:v>2010</c:v>
              </c:pt>
              <c:pt idx="1">
                <c:v>2015</c:v>
              </c:pt>
              <c:pt idx="2">
                <c:v>2020</c:v>
              </c:pt>
              <c:pt idx="3">
                <c:v>2021</c:v>
              </c:pt>
              <c:pt idx="4">
                <c:v>2022</c:v>
              </c:pt>
              <c:pt idx="5">
                <c:v>2023</c:v>
              </c:pt>
              <c:pt idx="6">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 EMPLEO Y ACTIVIDAD ECONÓMICA'!$I$297:$W$297</c15:sqref>
                  </c15:fullRef>
                </c:ext>
              </c:extLst>
              <c:f>('3. EMPLEO Y ACTIVIDAD ECONÓMICA'!$I$297,'3. EMPLEO Y ACTIVIDAD ECONÓMICA'!$N$297,'3. EMPLEO Y ACTIVIDAD ECONÓMICA'!$S$297:$W$297)</c:f>
              <c:numCache>
                <c:formatCode>General</c:formatCode>
                <c:ptCount val="7"/>
                <c:pt idx="0" formatCode="_-* #,##0_-;\-* #,##0_-;_-* &quot;-&quot;??_-;_-@_-">
                  <c:v>3281</c:v>
                </c:pt>
                <c:pt idx="1" formatCode="_-* #,##0_-;\-* #,##0_-;_-* &quot;-&quot;??_-;_-@_-">
                  <c:v>3627</c:v>
                </c:pt>
                <c:pt idx="2" formatCode="_-* #,##0_-;\-* #,##0_-;_-* &quot;-&quot;??_-;_-@_-">
                  <c:v>2781</c:v>
                </c:pt>
                <c:pt idx="3" formatCode="_-* #,##0_-;\-* #,##0_-;_-* &quot;-&quot;??_-;_-@_-">
                  <c:v>2429</c:v>
                </c:pt>
                <c:pt idx="4" formatCode="_-* #,##0_-;\-* #,##0_-;_-* &quot;-&quot;??_-;_-@_-">
                  <c:v>2430</c:v>
                </c:pt>
                <c:pt idx="5" formatCode="#,##0">
                  <c:v>2517</c:v>
                </c:pt>
                <c:pt idx="6" formatCode="#,##0">
                  <c:v>2253</c:v>
                </c:pt>
              </c:numCache>
            </c:numRef>
          </c:val>
          <c:smooth val="0"/>
          <c:extLst>
            <c:ext xmlns:c16="http://schemas.microsoft.com/office/drawing/2014/chart" uri="{C3380CC4-5D6E-409C-BE32-E72D297353CC}">
              <c16:uniqueId val="{00000005-C237-4AB8-ACB2-0F0321F02D98}"/>
            </c:ext>
          </c:extLst>
        </c:ser>
        <c:ser>
          <c:idx val="1"/>
          <c:order val="1"/>
          <c:tx>
            <c:strRef>
              <c:f>'3. EMPLEO Y ACTIVIDAD ECONÓMICA'!$B$298:$C$298</c:f>
              <c:strCache>
                <c:ptCount val="2"/>
                <c:pt idx="0">
                  <c:v>Mujeres (N)</c:v>
                </c:pt>
              </c:strCache>
            </c:strRef>
          </c:tx>
          <c:spPr>
            <a:ln w="19050" cap="flat">
              <a:solidFill>
                <a:srgbClr val="C00000"/>
              </a:solidFill>
              <a:miter lim="800000"/>
            </a:ln>
            <a:effectLst/>
          </c:spPr>
          <c:marker>
            <c:symbol val="circle"/>
            <c:size val="5"/>
            <c:spPr>
              <a:solidFill>
                <a:srgbClr val="C00000"/>
              </a:solidFill>
              <a:ln w="12700">
                <a:solidFill>
                  <a:srgbClr val="C00000"/>
                </a:solidFill>
                <a:miter lim="800000"/>
              </a:ln>
              <a:effectLst/>
            </c:spPr>
          </c:marker>
          <c:cat>
            <c:strLit>
              <c:ptCount val="7"/>
              <c:pt idx="0">
                <c:v>2010</c:v>
              </c:pt>
              <c:pt idx="1">
                <c:v>2015</c:v>
              </c:pt>
              <c:pt idx="2">
                <c:v>2020</c:v>
              </c:pt>
              <c:pt idx="3">
                <c:v>2021</c:v>
              </c:pt>
              <c:pt idx="4">
                <c:v>2022</c:v>
              </c:pt>
              <c:pt idx="5">
                <c:v>2023</c:v>
              </c:pt>
              <c:pt idx="6">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 EMPLEO Y ACTIVIDAD ECONÓMICA'!$I$298:$W$298</c15:sqref>
                  </c15:fullRef>
                </c:ext>
              </c:extLst>
              <c:f>('3. EMPLEO Y ACTIVIDAD ECONÓMICA'!$I$298,'3. EMPLEO Y ACTIVIDAD ECONÓMICA'!$N$298,'3. EMPLEO Y ACTIVIDAD ECONÓMICA'!$S$298:$W$298)</c:f>
              <c:numCache>
                <c:formatCode>General</c:formatCode>
                <c:ptCount val="7"/>
                <c:pt idx="0" formatCode="_-* #,##0_-;\-* #,##0_-;_-* &quot;-&quot;??_-;_-@_-">
                  <c:v>42216</c:v>
                </c:pt>
                <c:pt idx="1" formatCode="_-* #,##0_-;\-* #,##0_-;_-* &quot;-&quot;??_-;_-@_-">
                  <c:v>73723</c:v>
                </c:pt>
                <c:pt idx="2" formatCode="_-* #,##0_-;\-* #,##0_-;_-* &quot;-&quot;??_-;_-@_-">
                  <c:v>67389</c:v>
                </c:pt>
                <c:pt idx="3" formatCode="_-* #,##0_-;\-* #,##0_-;_-* &quot;-&quot;??_-;_-@_-">
                  <c:v>59011</c:v>
                </c:pt>
                <c:pt idx="4" formatCode="_-* #,##0_-;\-* #,##0_-;_-* &quot;-&quot;??_-;_-@_-">
                  <c:v>59162</c:v>
                </c:pt>
                <c:pt idx="5" formatCode="#,##0">
                  <c:v>60100</c:v>
                </c:pt>
                <c:pt idx="6" formatCode="#,##0">
                  <c:v>56469</c:v>
                </c:pt>
              </c:numCache>
            </c:numRef>
          </c:val>
          <c:smooth val="0"/>
          <c:extLst>
            <c:ext xmlns:c16="http://schemas.microsoft.com/office/drawing/2014/chart" uri="{C3380CC4-5D6E-409C-BE32-E72D297353CC}">
              <c16:uniqueId val="{00000006-C237-4AB8-ACB2-0F0321F02D98}"/>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6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3.9. Personas inscritas en la Agencia para el Empleo</a:t>
            </a:r>
          </a:p>
        </c:rich>
      </c:tx>
      <c:layout>
        <c:manualLayout>
          <c:xMode val="edge"/>
          <c:yMode val="edge"/>
          <c:x val="0.20596391588454246"/>
          <c:y val="3.57034051713449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'3. EMPLEO Y ACTIVIDAD ECONÓMICA'!$B$305</c:f>
              <c:strCache>
                <c:ptCount val="1"/>
                <c:pt idx="0">
                  <c:v>Brecha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2016</c:v>
              </c:pt>
              <c:pt idx="1">
                <c:v>2017</c:v>
              </c:pt>
              <c:pt idx="2">
                <c:v>2018</c:v>
              </c:pt>
              <c:pt idx="3">
                <c:v>2019</c:v>
              </c:pt>
              <c:pt idx="4">
                <c:v>2020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 EMPLEO Y ACTIVIDAD ECONÓMICA'!$C$305,'3. EMPLEO Y ACTIVIDAD ECONÓMICA'!$S$305:$W$305)</c15:sqref>
                  </c15:fullRef>
                </c:ext>
              </c:extLst>
              <c:f>'3. EMPLEO Y ACTIVIDAD ECONÓMICA'!$S$305:$W$305</c:f>
              <c:numCache>
                <c:formatCode>0</c:formatCode>
                <c:ptCount val="5"/>
                <c:pt idx="0">
                  <c:v>4275</c:v>
                </c:pt>
                <c:pt idx="1">
                  <c:v>4471</c:v>
                </c:pt>
                <c:pt idx="2">
                  <c:v>6777</c:v>
                </c:pt>
                <c:pt idx="3">
                  <c:v>4531</c:v>
                </c:pt>
                <c:pt idx="4">
                  <c:v>5706</c:v>
                </c:pt>
              </c:numCache>
            </c:numRef>
          </c:val>
          <c:extLst>
            <c:ext xmlns:c16="http://schemas.microsoft.com/office/drawing/2014/chart" uri="{C3380CC4-5D6E-409C-BE32-E72D297353CC}">
              <c16:uniqueId val="{00000004-C47D-452C-91BD-4F4DAD7D3F0B}"/>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'3. EMPLEO Y ACTIVIDAD ECONÓMICA'!$B$303</c:f>
              <c:strCache>
                <c:ptCount val="1"/>
                <c:pt idx="0">
                  <c:v>Hombres (N)</c:v>
                </c:pt>
              </c:strCache>
            </c:strRef>
          </c:tx>
          <c:spPr>
            <a:ln w="19050" cap="rnd">
              <a:solidFill>
                <a:schemeClr val="bg2">
                  <a:lumMod val="50000"/>
                </a:schemeClr>
              </a:solidFill>
              <a:round/>
            </a:ln>
            <a:effectLst/>
          </c:spPr>
          <c:marker>
            <c:symbol val="circle"/>
            <c:size val="5"/>
            <c:spPr>
              <a:solidFill>
                <a:schemeClr val="bg2">
                  <a:lumMod val="50000"/>
                </a:schemeClr>
              </a:solidFill>
              <a:ln w="12700">
                <a:solidFill>
                  <a:schemeClr val="bg2">
                    <a:lumMod val="50000"/>
                  </a:schemeClr>
                </a:solidFill>
                <a:miter lim="800000"/>
              </a:ln>
              <a:effectLst/>
            </c:spPr>
          </c:marker>
          <c:cat>
            <c:numRef>
              <c:extLst>
                <c:ext xmlns:c15="http://schemas.microsoft.com/office/drawing/2012/chart" uri="{02D57815-91ED-43cb-92C2-25804820EDAC}">
                  <c15:fullRef>
                    <c15:sqref>'3. EMPLEO Y ACTIVIDAD ECONÓMICA'!$N$301:$W$301</c15:sqref>
                  </c15:fullRef>
                </c:ext>
              </c:extLst>
              <c:f>'3. EMPLEO Y ACTIVIDAD ECONÓMICA'!$O$301:$W$301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('3. EMPLEO Y ACTIVIDAD ECONÓMICA'!$C$303,'3. EMPLEO Y ACTIVIDAD ECONÓMICA'!$S$303:$W$303)</c15:sqref>
                  </c15:fullRef>
                </c:ext>
              </c:extLst>
              <c:f>'3. EMPLEO Y ACTIVIDAD ECONÓMICA'!$S$303:$W$303</c:f>
              <c:numCache>
                <c:formatCode>0</c:formatCode>
                <c:ptCount val="5"/>
                <c:pt idx="0">
                  <c:v>5432</c:v>
                </c:pt>
                <c:pt idx="1">
                  <c:v>5859</c:v>
                </c:pt>
                <c:pt idx="2">
                  <c:v>7214</c:v>
                </c:pt>
                <c:pt idx="3">
                  <c:v>6632</c:v>
                </c:pt>
                <c:pt idx="4">
                  <c:v>6991</c:v>
                </c:pt>
              </c:numCache>
            </c:numRef>
          </c:val>
          <c:smooth val="0"/>
          <c:extLst>
            <c:ext xmlns:c16="http://schemas.microsoft.com/office/drawing/2014/chart" uri="{C3380CC4-5D6E-409C-BE32-E72D297353CC}">
              <c16:uniqueId val="{00000005-C47D-452C-91BD-4F4DAD7D3F0B}"/>
            </c:ext>
          </c:extLst>
        </c:ser>
        <c:ser>
          <c:idx val="1"/>
          <c:order val="1"/>
          <c:tx>
            <c:strRef>
              <c:f>'3. EMPLEO Y ACTIVIDAD ECONÓMICA'!$B$304</c:f>
              <c:strCache>
                <c:ptCount val="1"/>
                <c:pt idx="0">
                  <c:v>Mujeres (N)</c:v>
                </c:pt>
              </c:strCache>
            </c:strRef>
          </c:tx>
          <c:spPr>
            <a:ln w="19050" cap="rnd">
              <a:solidFill>
                <a:srgbClr val="C00000"/>
              </a:solidFill>
              <a:round/>
            </a:ln>
            <a:effectLst/>
          </c:spPr>
          <c:marker>
            <c:symbol val="circle"/>
            <c:size val="5"/>
            <c:spPr>
              <a:solidFill>
                <a:srgbClr val="C00000"/>
              </a:solidFill>
              <a:ln w="12700">
                <a:solidFill>
                  <a:srgbClr val="C00000"/>
                </a:solidFill>
                <a:miter lim="800000"/>
              </a:ln>
              <a:effectLst/>
            </c:spPr>
          </c:marker>
          <c:cat>
            <c:numRef>
              <c:extLst>
                <c:ext xmlns:c15="http://schemas.microsoft.com/office/drawing/2012/chart" uri="{02D57815-91ED-43cb-92C2-25804820EDAC}">
                  <c15:fullRef>
                    <c15:sqref>'3. EMPLEO Y ACTIVIDAD ECONÓMICA'!$N$301:$W$301</c15:sqref>
                  </c15:fullRef>
                </c:ext>
              </c:extLst>
              <c:f>'3. EMPLEO Y ACTIVIDAD ECONÓMICA'!$O$301:$W$301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('3. EMPLEO Y ACTIVIDAD ECONÓMICA'!$C$304,'3. EMPLEO Y ACTIVIDAD ECONÓMICA'!$S$304:$W$304)</c15:sqref>
                  </c15:fullRef>
                </c:ext>
              </c:extLst>
              <c:f>'3. EMPLEO Y ACTIVIDAD ECONÓMICA'!$S$304:$W$304</c:f>
              <c:numCache>
                <c:formatCode>0</c:formatCode>
                <c:ptCount val="5"/>
                <c:pt idx="0">
                  <c:v>9707</c:v>
                </c:pt>
                <c:pt idx="1">
                  <c:v>10330</c:v>
                </c:pt>
                <c:pt idx="2">
                  <c:v>13991</c:v>
                </c:pt>
                <c:pt idx="3">
                  <c:v>11163</c:v>
                </c:pt>
                <c:pt idx="4">
                  <c:v>12697</c:v>
                </c:pt>
              </c:numCache>
            </c:numRef>
          </c:val>
          <c:smooth val="0"/>
          <c:extLst>
            <c:ext xmlns:c16="http://schemas.microsoft.com/office/drawing/2014/chart" uri="{C3380CC4-5D6E-409C-BE32-E72D297353CC}">
              <c16:uniqueId val="{00000006-C47D-452C-91BD-4F4DAD7D3F0B}"/>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6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ysClr val="windowText" lastClr="000000"/>
                </a:solidFill>
              </a:rPr>
              <a:t>1.2. Índice de desigualdad de género por ámbitos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1.9998548097391489E-2"/>
          <c:y val="7.6306918488615483E-2"/>
          <c:w val="0.82226425844816553"/>
          <c:h val="0.86663391365324516"/>
        </c:manualLayout>
      </c:layout>
      <c:lineChart>
        <c:grouping val="standard"/>
        <c:varyColors val="0"/>
        <c:ser>
          <c:idx val="0"/>
          <c:order val="0"/>
          <c:tx>
            <c:strRef>
              <c:f>'1.SITUACIÓN GLOBAL'!$B$5</c:f>
              <c:strCache>
                <c:ptCount val="1"/>
                <c:pt idx="0">
                  <c:v>EDUCACIÓN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GLOBAL'!$D$4:$U$4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GLOBAL'!$D$5:$U$5</c:f>
              <c:numCache>
                <c:formatCode>0.000</c:formatCode>
                <c:ptCount val="18"/>
                <c:pt idx="0">
                  <c:v>1.0409999999999999</c:v>
                </c:pt>
                <c:pt idx="1">
                  <c:v>1.0309999999999999</c:v>
                </c:pt>
                <c:pt idx="2">
                  <c:v>1.097</c:v>
                </c:pt>
                <c:pt idx="3">
                  <c:v>1.1639999999999999</c:v>
                </c:pt>
                <c:pt idx="4">
                  <c:v>1.0409999999999999</c:v>
                </c:pt>
                <c:pt idx="5">
                  <c:v>1.0309999999999999</c:v>
                </c:pt>
                <c:pt idx="6">
                  <c:v>1.0329999999999999</c:v>
                </c:pt>
                <c:pt idx="7">
                  <c:v>0.96799999999999997</c:v>
                </c:pt>
                <c:pt idx="8">
                  <c:v>1.0549999999999999</c:v>
                </c:pt>
                <c:pt idx="9">
                  <c:v>1.109</c:v>
                </c:pt>
                <c:pt idx="10">
                  <c:v>1.085</c:v>
                </c:pt>
                <c:pt idx="11">
                  <c:v>1.0760000000000001</c:v>
                </c:pt>
                <c:pt idx="12">
                  <c:v>1.1220000000000001</c:v>
                </c:pt>
                <c:pt idx="13">
                  <c:v>1.08</c:v>
                </c:pt>
                <c:pt idx="14">
                  <c:v>1.1759999999999999</c:v>
                </c:pt>
                <c:pt idx="15">
                  <c:v>1.202</c:v>
                </c:pt>
                <c:pt idx="16">
                  <c:v>1.2008511780029827</c:v>
                </c:pt>
                <c:pt idx="17">
                  <c:v>0.96435535133230987</c:v>
                </c:pt>
              </c:numCache>
            </c:numRef>
          </c:val>
          <c:smooth val="0"/>
          <c:extLst>
            <c:ext xmlns:c16="http://schemas.microsoft.com/office/drawing/2014/chart" uri="{C3380CC4-5D6E-409C-BE32-E72D297353CC}">
              <c16:uniqueId val="{00000000-AE91-469D-96E6-6718D6B1ABC5}"/>
            </c:ext>
          </c:extLst>
        </c:ser>
        <c:ser>
          <c:idx val="1"/>
          <c:order val="1"/>
          <c:tx>
            <c:strRef>
              <c:f>'1.SITUACIÓN GLOBAL'!$B$6</c:f>
              <c:strCache>
                <c:ptCount val="1"/>
                <c:pt idx="0">
                  <c:v>TRABAJO REMUNERADO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3"/>
              <c:layout>
                <c:manualLayout>
                  <c:x val="-1.7224071243968547E-2"/>
                  <c:y val="-2.4161810591975912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214-49FF-876B-93F0F3554EE7}"/>
                </c:ext>
              </c:extLst>
            </c:dLbl>
            <c:dLbl>
              <c:idx val="4"/>
              <c:layout>
                <c:manualLayout>
                  <c:x val="-1.6353289077943849E-2"/>
                  <c:y val="-2.4161810591975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B6-4D5E-8E79-DDBDF7A773A9}"/>
                </c:ext>
              </c:extLst>
            </c:dLbl>
            <c:dLbl>
              <c:idx val="5"/>
              <c:layout>
                <c:manualLayout>
                  <c:x val="-7.6454674176968575E-3"/>
                  <c:y val="5.716130692493159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AE91-469D-96E6-6718D6B1ABC5}"/>
                </c:ext>
              </c:extLst>
            </c:dLbl>
            <c:dLbl>
              <c:idx val="6"/>
              <c:layout>
                <c:manualLayout>
                  <c:x val="-1.6353289077943849E-2"/>
                  <c:y val="7.2409391459351755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FB6-4D5E-8E79-DDBDF7A773A9}"/>
                </c:ext>
              </c:extLst>
            </c:dLbl>
            <c:dLbl>
              <c:idx val="8"/>
              <c:layout>
                <c:manualLayout>
                  <c:x val="-1.6860330555961246E-2"/>
                  <c:y val="-3.709166853220510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B214-49FF-876B-93F0F3554EE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'1.SITUACIÓN GLOBAL'!$D$4:$U$4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GLOBAL'!$D$6:$U$6</c:f>
              <c:numCache>
                <c:formatCode>0.000</c:formatCode>
                <c:ptCount val="18"/>
                <c:pt idx="0">
                  <c:v>0.73099999999999998</c:v>
                </c:pt>
                <c:pt idx="1">
                  <c:v>0.77200000000000002</c:v>
                </c:pt>
                <c:pt idx="2">
                  <c:v>0.76400000000000001</c:v>
                </c:pt>
                <c:pt idx="3">
                  <c:v>0.874</c:v>
                </c:pt>
                <c:pt idx="4">
                  <c:v>0.85199999999999998</c:v>
                </c:pt>
                <c:pt idx="5">
                  <c:v>0.86099999999999999</c:v>
                </c:pt>
                <c:pt idx="6">
                  <c:v>0.88800000000000001</c:v>
                </c:pt>
                <c:pt idx="7">
                  <c:v>0.85099999999999998</c:v>
                </c:pt>
                <c:pt idx="8">
                  <c:v>0.89900000000000002</c:v>
                </c:pt>
                <c:pt idx="9">
                  <c:v>0.89</c:v>
                </c:pt>
                <c:pt idx="10">
                  <c:v>0.84199999999999997</c:v>
                </c:pt>
                <c:pt idx="11">
                  <c:v>0.84399999999999997</c:v>
                </c:pt>
                <c:pt idx="12">
                  <c:v>0.82299999999999995</c:v>
                </c:pt>
                <c:pt idx="13">
                  <c:v>0.83899999999999997</c:v>
                </c:pt>
                <c:pt idx="14">
                  <c:v>0.79700000000000004</c:v>
                </c:pt>
                <c:pt idx="15">
                  <c:v>0.78700000000000003</c:v>
                </c:pt>
                <c:pt idx="16">
                  <c:v>0.73221639543260653</c:v>
                </c:pt>
                <c:pt idx="17">
                  <c:v>0.80534546885727809</c:v>
                </c:pt>
              </c:numCache>
            </c:numRef>
          </c:val>
          <c:smooth val="0"/>
          <c:extLst>
            <c:ext xmlns:c16="http://schemas.microsoft.com/office/drawing/2014/chart" uri="{C3380CC4-5D6E-409C-BE32-E72D297353CC}">
              <c16:uniqueId val="{00000006-AE91-469D-96E6-6718D6B1ABC5}"/>
            </c:ext>
          </c:extLst>
        </c:ser>
        <c:ser>
          <c:idx val="2"/>
          <c:order val="2"/>
          <c:tx>
            <c:strRef>
              <c:f>'1.SITUACIÓN GLOBAL'!$B$7:$C$7</c:f>
              <c:strCache>
                <c:ptCount val="2"/>
                <c:pt idx="0">
                  <c:v>INGRESOS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3"/>
              <c:layout>
                <c:manualLayout>
                  <c:x val="1.0623542425501329E-3"/>
                  <c:y val="1.3996420902362432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B214-49FF-876B-93F0F3554EE7}"/>
                </c:ext>
              </c:extLst>
            </c:dLbl>
            <c:dLbl>
              <c:idx val="4"/>
              <c:layout>
                <c:manualLayout>
                  <c:x val="-2.4207744215486633E-3"/>
                  <c:y val="5.97406745056228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B6-4D5E-8E79-DDBDF7A773A9}"/>
                </c:ext>
              </c:extLst>
            </c:dLbl>
            <c:dLbl>
              <c:idx val="7"/>
              <c:layout>
                <c:manualLayout>
                  <c:x val="-1.7758111735724891E-2"/>
                  <c:y val="-1.404287409950862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B214-49FF-876B-93F0F3554EE7}"/>
                </c:ext>
              </c:extLst>
            </c:dLbl>
            <c:dLbl>
              <c:idx val="8"/>
              <c:layout>
                <c:manualLayout>
                  <c:x val="-1.1999375653277191E-2"/>
                  <c:y val="5.487320243964111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5FB6-4D5E-8E79-DDBDF7A773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'1.SITUACIÓN GLOBAL'!$D$4:$U$4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GLOBAL'!$D$7:$U$7</c:f>
              <c:numCache>
                <c:formatCode>0.000</c:formatCode>
                <c:ptCount val="18"/>
                <c:pt idx="0">
                  <c:v>0.89400000000000002</c:v>
                </c:pt>
                <c:pt idx="1">
                  <c:v>0.82599999999999996</c:v>
                </c:pt>
                <c:pt idx="2">
                  <c:v>0.82199999999999995</c:v>
                </c:pt>
                <c:pt idx="3">
                  <c:v>0.81100000000000005</c:v>
                </c:pt>
                <c:pt idx="4">
                  <c:v>0.84099999999999997</c:v>
                </c:pt>
                <c:pt idx="5">
                  <c:v>0.879</c:v>
                </c:pt>
                <c:pt idx="6">
                  <c:v>0.88600000000000001</c:v>
                </c:pt>
                <c:pt idx="7">
                  <c:v>0.94099999999999995</c:v>
                </c:pt>
                <c:pt idx="8">
                  <c:v>0.874</c:v>
                </c:pt>
                <c:pt idx="9">
                  <c:v>0.89900000000000002</c:v>
                </c:pt>
                <c:pt idx="10">
                  <c:v>0.878</c:v>
                </c:pt>
                <c:pt idx="11">
                  <c:v>0.86399999999999999</c:v>
                </c:pt>
                <c:pt idx="12">
                  <c:v>0.89100000000000001</c:v>
                </c:pt>
                <c:pt idx="13">
                  <c:v>0.88200000000000001</c:v>
                </c:pt>
                <c:pt idx="14">
                  <c:v>1.0109999999999999</c:v>
                </c:pt>
                <c:pt idx="15">
                  <c:v>0.95499999999999996</c:v>
                </c:pt>
                <c:pt idx="16">
                  <c:v>0.86794747742220635</c:v>
                </c:pt>
                <c:pt idx="17">
                  <c:v>0.88862621685779841</c:v>
                </c:pt>
              </c:numCache>
            </c:numRef>
          </c:val>
          <c:smooth val="0"/>
          <c:extLst>
            <c:ext xmlns:c16="http://schemas.microsoft.com/office/drawing/2014/chart" uri="{C3380CC4-5D6E-409C-BE32-E72D297353CC}">
              <c16:uniqueId val="{0000000B-AE91-469D-96E6-6718D6B1ABC5}"/>
            </c:ext>
          </c:extLst>
        </c:ser>
        <c:ser>
          <c:idx val="3"/>
          <c:order val="3"/>
          <c:tx>
            <c:strRef>
              <c:f>'1.SITUACIÓN GLOBAL'!$B$8</c:f>
              <c:strCache>
                <c:ptCount val="1"/>
                <c:pt idx="0">
                  <c:v>DECISIONES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GLOBAL'!$D$4:$U$4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GLOBAL'!$D$8:$U$8</c:f>
              <c:numCache>
                <c:formatCode>0.000</c:formatCode>
                <c:ptCount val="18"/>
                <c:pt idx="0">
                  <c:v>0.47099999999999997</c:v>
                </c:pt>
                <c:pt idx="1">
                  <c:v>0.49</c:v>
                </c:pt>
                <c:pt idx="2">
                  <c:v>0.47899999999999998</c:v>
                </c:pt>
                <c:pt idx="3">
                  <c:v>0.49399999999999999</c:v>
                </c:pt>
                <c:pt idx="4">
                  <c:v>0.48299999999999998</c:v>
                </c:pt>
                <c:pt idx="5">
                  <c:v>0.47099999999999997</c:v>
                </c:pt>
                <c:pt idx="6">
                  <c:v>0.46200000000000002</c:v>
                </c:pt>
                <c:pt idx="7">
                  <c:v>0.439</c:v>
                </c:pt>
                <c:pt idx="8">
                  <c:v>0.47399999999999998</c:v>
                </c:pt>
                <c:pt idx="9">
                  <c:v>0.42799999999999999</c:v>
                </c:pt>
                <c:pt idx="10">
                  <c:v>0.41799999999999998</c:v>
                </c:pt>
                <c:pt idx="11">
                  <c:v>0.45</c:v>
                </c:pt>
                <c:pt idx="12">
                  <c:v>0.51100000000000001</c:v>
                </c:pt>
                <c:pt idx="13">
                  <c:v>0.52500000000000002</c:v>
                </c:pt>
                <c:pt idx="14">
                  <c:v>0.51900000000000002</c:v>
                </c:pt>
                <c:pt idx="15">
                  <c:v>0.48099999999999998</c:v>
                </c:pt>
                <c:pt idx="16">
                  <c:v>0.55293016839468945</c:v>
                </c:pt>
                <c:pt idx="17">
                  <c:v>0.54127488712467964</c:v>
                </c:pt>
              </c:numCache>
            </c:numRef>
          </c:val>
          <c:smooth val="0"/>
          <c:extLst>
            <c:ext xmlns:c16="http://schemas.microsoft.com/office/drawing/2014/chart" uri="{C3380CC4-5D6E-409C-BE32-E72D297353CC}">
              <c16:uniqueId val="{0000000C-AE91-469D-96E6-6718D6B1ABC5}"/>
            </c:ext>
          </c:extLst>
        </c:ser>
        <c:ser>
          <c:idx val="4"/>
          <c:order val="4"/>
          <c:tx>
            <c:strRef>
              <c:f>'1.SITUACIÓN GLOBAL'!$B$9</c:f>
              <c:strCache>
                <c:ptCount val="1"/>
                <c:pt idx="0">
                  <c:v>TRABAJO NO REMUNERADO</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numFmt formatCode="0.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GLOBAL'!$D$4:$U$4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'1.SITUACIÓN GLOBAL'!$D$9:$U$9</c:f>
              <c:numCache>
                <c:formatCode>0.000</c:formatCode>
                <c:ptCount val="18"/>
                <c:pt idx="0">
                  <c:v>0.23</c:v>
                </c:pt>
                <c:pt idx="1">
                  <c:v>0.22900000000000001</c:v>
                </c:pt>
                <c:pt idx="2">
                  <c:v>0.246</c:v>
                </c:pt>
                <c:pt idx="3">
                  <c:v>0.24399999999999999</c:v>
                </c:pt>
                <c:pt idx="4">
                  <c:v>0.30599999999999999</c:v>
                </c:pt>
                <c:pt idx="5">
                  <c:v>0.26700000000000002</c:v>
                </c:pt>
                <c:pt idx="6">
                  <c:v>0.27500000000000002</c:v>
                </c:pt>
                <c:pt idx="7">
                  <c:v>0.34399999999999997</c:v>
                </c:pt>
                <c:pt idx="8">
                  <c:v>0.33300000000000002</c:v>
                </c:pt>
                <c:pt idx="9">
                  <c:v>0.307</c:v>
                </c:pt>
                <c:pt idx="10">
                  <c:v>0.313</c:v>
                </c:pt>
                <c:pt idx="11">
                  <c:v>0.32800000000000001</c:v>
                </c:pt>
                <c:pt idx="12">
                  <c:v>0.30199999999999999</c:v>
                </c:pt>
                <c:pt idx="13">
                  <c:v>0.36499999999999999</c:v>
                </c:pt>
                <c:pt idx="14">
                  <c:v>0.42899999999999999</c:v>
                </c:pt>
                <c:pt idx="15">
                  <c:v>0.40200000000000002</c:v>
                </c:pt>
                <c:pt idx="16">
                  <c:v>0.38300457911463026</c:v>
                </c:pt>
                <c:pt idx="17">
                  <c:v>0.36655057545875924</c:v>
                </c:pt>
              </c:numCache>
            </c:numRef>
          </c:val>
          <c:smooth val="0"/>
          <c:extLst>
            <c:ext xmlns:c16="http://schemas.microsoft.com/office/drawing/2014/chart" uri="{C3380CC4-5D6E-409C-BE32-E72D297353CC}">
              <c16:uniqueId val="{0000000D-AE91-469D-96E6-6718D6B1ABC5}"/>
            </c:ext>
          </c:extLst>
        </c:ser>
        <c:dLbls>
          <c:showLegendKey val="0"/>
          <c:showVal val="0"/>
          <c:showCatName val="0"/>
          <c:showSerName val="0"/>
          <c:showPercent val="0"/>
          <c:showBubbleSize val="0"/>
        </c:dLbls>
        <c:marker val="1"/>
        <c:smooth val="0"/>
        <c:axId val="1140747631"/>
        <c:axId val="1443938735"/>
      </c:lineChart>
      <c:catAx>
        <c:axId val="1140747631"/>
        <c:scaling>
          <c:orientation val="minMax"/>
        </c:scaling>
        <c:delete val="0"/>
        <c:axPos val="b"/>
        <c:numFmt formatCode="General" sourceLinked="1"/>
        <c:majorTickMark val="none"/>
        <c:minorTickMark val="none"/>
        <c:tickLblPos val="low"/>
        <c:spPr>
          <a:noFill/>
          <a:ln w="22225" cap="flat" cmpd="sng" algn="ctr">
            <a:solidFill>
              <a:srgbClr val="FF0000">
                <a:alpha val="38000"/>
              </a:srgbClr>
            </a:solidFill>
            <a:round/>
          </a:ln>
          <a:effectLst>
            <a:glow rad="12700">
              <a:schemeClr val="bg2">
                <a:lumMod val="50000"/>
                <a:alpha val="71000"/>
              </a:schemeClr>
            </a:glow>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S"/>
          </a:p>
        </c:txPr>
        <c:crossAx val="1443938735"/>
        <c:crossesAt val="1"/>
        <c:auto val="1"/>
        <c:lblAlgn val="ctr"/>
        <c:lblOffset val="100"/>
        <c:noMultiLvlLbl val="0"/>
      </c:catAx>
      <c:valAx>
        <c:axId val="14439387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40747631"/>
        <c:crosses val="autoZero"/>
        <c:crossBetween val="between"/>
      </c:valAx>
      <c:spPr>
        <a:solidFill>
          <a:schemeClr val="bg1">
            <a:lumMod val="95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a:glow>
        <a:schemeClr val="accent1">
          <a:alpha val="40000"/>
        </a:schemeClr>
      </a:glow>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3.4. Población ocupada según equilibrio</a:t>
            </a:r>
            <a:r>
              <a:rPr lang="it-IT" sz="1200" b="1" baseline="0"/>
              <a:t> de género en el</a:t>
            </a:r>
            <a:r>
              <a:rPr lang="it-IT" sz="1200" b="1"/>
              <a:t> tipo de ocupación</a:t>
            </a:r>
          </a:p>
        </c:rich>
      </c:tx>
      <c:layout>
        <c:manualLayout>
          <c:xMode val="edge"/>
          <c:yMode val="edge"/>
          <c:x val="0.14606873857756583"/>
          <c:y val="3.572087507825707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'3. EMPLEO Y ACTIVIDAD ECONÓMICA'!$C$270:$C$270</c:f>
              <c:strCache>
                <c:ptCount val="1"/>
                <c:pt idx="0">
                  <c:v>Masculinizadas</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ECONÓMICA'!$J$17:$T$17</c15:sqref>
                  </c15:fullRef>
                </c:ext>
              </c:extLst>
              <c:f>('3. EMPLEO Y ACTIVIDAD ECONÓMICA'!$J$17,'3. EMPLEO Y ACTIVIDAD ECONÓMICA'!$T$17)</c:f>
              <c:numCache>
                <c:formatCode>General</c:formatCode>
                <c:ptCount val="2"/>
                <c:pt idx="0">
                  <c:v>2011</c:v>
                </c:pt>
                <c:pt idx="1">
                  <c:v>2021</c:v>
                </c:pt>
              </c:numCache>
            </c:numRef>
          </c:cat>
          <c:val>
            <c:numRef>
              <c:extLst>
                <c:ext xmlns:c15="http://schemas.microsoft.com/office/drawing/2012/chart" uri="{02D57815-91ED-43cb-92C2-25804820EDAC}">
                  <c15:fullRef>
                    <c15:sqref>'3. EMPLEO Y ACTIVIDAD ECONÓMICA'!$J$270:$T$270</c15:sqref>
                  </c15:fullRef>
                </c:ext>
              </c:extLst>
              <c:f>('3. EMPLEO Y ACTIVIDAD ECONÓMICA'!$J$270,'3. EMPLEO Y ACTIVIDAD ECONÓMICA'!$T$270)</c:f>
              <c:numCache>
                <c:formatCode>0.0</c:formatCode>
                <c:ptCount val="2"/>
                <c:pt idx="0">
                  <c:v>53.225806451612897</c:v>
                </c:pt>
                <c:pt idx="1">
                  <c:v>52.459016393442624</c:v>
                </c:pt>
              </c:numCache>
            </c:numRef>
          </c:val>
          <c:extLst>
            <c:ext xmlns:c16="http://schemas.microsoft.com/office/drawing/2014/chart" uri="{C3380CC4-5D6E-409C-BE32-E72D297353CC}">
              <c16:uniqueId val="{00000009-E3A9-43D3-BB14-B49EBEE28D54}"/>
            </c:ext>
          </c:extLst>
        </c:ser>
        <c:ser>
          <c:idx val="1"/>
          <c:order val="1"/>
          <c:tx>
            <c:strRef>
              <c:f>'3. EMPLEO Y ACTIVIDAD ECONÓMICA'!$C$271:$C$271</c:f>
              <c:strCache>
                <c:ptCount val="1"/>
                <c:pt idx="0">
                  <c:v>Feminizadas</c:v>
                </c:pt>
              </c:strCache>
            </c:strRef>
          </c:tx>
          <c:spPr>
            <a:solidFill>
              <a:srgbClr val="FF5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ECONÓMICA'!$J$17:$T$17</c15:sqref>
                  </c15:fullRef>
                </c:ext>
              </c:extLst>
              <c:f>('3. EMPLEO Y ACTIVIDAD ECONÓMICA'!$J$17,'3. EMPLEO Y ACTIVIDAD ECONÓMICA'!$T$17)</c:f>
              <c:numCache>
                <c:formatCode>General</c:formatCode>
                <c:ptCount val="2"/>
                <c:pt idx="0">
                  <c:v>2011</c:v>
                </c:pt>
                <c:pt idx="1">
                  <c:v>2021</c:v>
                </c:pt>
              </c:numCache>
            </c:numRef>
          </c:cat>
          <c:val>
            <c:numRef>
              <c:extLst>
                <c:ext xmlns:c15="http://schemas.microsoft.com/office/drawing/2012/chart" uri="{02D57815-91ED-43cb-92C2-25804820EDAC}">
                  <c15:fullRef>
                    <c15:sqref>'3. EMPLEO Y ACTIVIDAD ECONÓMICA'!$J$271:$T$271</c15:sqref>
                  </c15:fullRef>
                </c:ext>
              </c:extLst>
              <c:f>('3. EMPLEO Y ACTIVIDAD ECONÓMICA'!$J$271,'3. EMPLEO Y ACTIVIDAD ECONÓMICA'!$T$271)</c:f>
              <c:numCache>
                <c:formatCode>0.0</c:formatCode>
                <c:ptCount val="2"/>
                <c:pt idx="0">
                  <c:v>22.58064516129032</c:v>
                </c:pt>
                <c:pt idx="1">
                  <c:v>22.950819672131146</c:v>
                </c:pt>
              </c:numCache>
            </c:numRef>
          </c:val>
          <c:extLst>
            <c:ext xmlns:c16="http://schemas.microsoft.com/office/drawing/2014/chart" uri="{C3380CC4-5D6E-409C-BE32-E72D297353CC}">
              <c16:uniqueId val="{0000000A-E3A9-43D3-BB14-B49EBEE28D54}"/>
            </c:ext>
          </c:extLst>
        </c:ser>
        <c:ser>
          <c:idx val="2"/>
          <c:order val="2"/>
          <c:tx>
            <c:strRef>
              <c:f>'3. EMPLEO Y ACTIVIDAD ECONÓMICA'!$C$272:$C$272</c:f>
              <c:strCache>
                <c:ptCount val="1"/>
                <c:pt idx="0">
                  <c:v>En equilibrio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'3. EMPLEO Y ACTIVIDAD ECONÓMICA'!$J$17:$T$17</c15:sqref>
                  </c15:fullRef>
                </c:ext>
              </c:extLst>
              <c:f>('3. EMPLEO Y ACTIVIDAD ECONÓMICA'!$J$17,'3. EMPLEO Y ACTIVIDAD ECONÓMICA'!$T$17)</c:f>
              <c:numCache>
                <c:formatCode>General</c:formatCode>
                <c:ptCount val="2"/>
                <c:pt idx="0">
                  <c:v>2011</c:v>
                </c:pt>
                <c:pt idx="1">
                  <c:v>2021</c:v>
                </c:pt>
              </c:numCache>
            </c:numRef>
          </c:cat>
          <c:val>
            <c:numRef>
              <c:extLst>
                <c:ext xmlns:c15="http://schemas.microsoft.com/office/drawing/2012/chart" uri="{02D57815-91ED-43cb-92C2-25804820EDAC}">
                  <c15:fullRef>
                    <c15:sqref>'3. EMPLEO Y ACTIVIDAD ECONÓMICA'!$J$272:$T$272</c15:sqref>
                  </c15:fullRef>
                </c:ext>
              </c:extLst>
              <c:f>('3. EMPLEO Y ACTIVIDAD ECONÓMICA'!$J$272,'3. EMPLEO Y ACTIVIDAD ECONÓMICA'!$T$272)</c:f>
              <c:numCache>
                <c:formatCode>0.0</c:formatCode>
                <c:ptCount val="2"/>
                <c:pt idx="0">
                  <c:v>24.193548387096776</c:v>
                </c:pt>
                <c:pt idx="1">
                  <c:v>24.590163934426229</c:v>
                </c:pt>
              </c:numCache>
            </c:numRef>
          </c:val>
          <c:extLst>
            <c:ext xmlns:c16="http://schemas.microsoft.com/office/drawing/2014/chart" uri="{C3380CC4-5D6E-409C-BE32-E72D297353CC}">
              <c16:uniqueId val="{00000008-E3A9-43D3-BB14-B49EBEE28D54}"/>
            </c:ext>
          </c:extLst>
        </c:ser>
        <c:dLbls>
          <c:showLegendKey val="0"/>
          <c:showVal val="0"/>
          <c:showCatName val="0"/>
          <c:showSerName val="0"/>
          <c:showPercent val="0"/>
          <c:showBubbleSize val="0"/>
        </c:dLbls>
        <c:gapWidth val="150"/>
        <c:axId val="1178732271"/>
        <c:axId val="1404224031"/>
        <c:extLst/>
      </c:bar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ax val="8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1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90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3.5. Tasa de contratos a tiempo parcial</a:t>
            </a:r>
          </a:p>
        </c:rich>
      </c:tx>
      <c:layout>
        <c:manualLayout>
          <c:xMode val="edge"/>
          <c:yMode val="edge"/>
          <c:x val="0.38110708010672217"/>
          <c:y val="4.01862347137540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3"/>
          <c:order val="2"/>
          <c:tx>
            <c:strRef>
              <c:f>'3. EMPLEO Y ACTIVIDAD ECONÓMICA'!$B$283:$C$283</c:f>
              <c:strCache>
                <c:ptCount val="2"/>
                <c:pt idx="0">
                  <c:v>Brecha (punt.porc.)</c:v>
                </c:pt>
              </c:strCache>
            </c:strRef>
          </c:tx>
          <c:spPr>
            <a:solidFill>
              <a:srgbClr val="FF8989"/>
            </a:solidFill>
            <a:ln>
              <a:noFill/>
            </a:ln>
            <a:effectLst/>
          </c:spPr>
          <c:invertIfNegative val="0"/>
          <c:cat>
            <c:numRef>
              <c:extLst>
                <c:ext xmlns:c15="http://schemas.microsoft.com/office/drawing/2012/chart" uri="{02D57815-91ED-43cb-92C2-25804820EDAC}">
                  <c15:fullRef>
                    <c15:sqref>'3. EMPLEO Y ACTIVIDAD ECONÓMICA'!$N$273:$W$273</c15:sqref>
                  </c15:fullRef>
                </c:ext>
              </c:extLst>
              <c:f>('3. EMPLEO Y ACTIVIDAD ECONÓMICA'!$N$273,'3. EMPLEO Y ACTIVIDAD ECONÓMICA'!$S$273:$W$273)</c:f>
              <c:numCache>
                <c:formatCode>General</c:formatCode>
                <c:ptCount val="6"/>
                <c:pt idx="0">
                  <c:v>2015</c:v>
                </c:pt>
                <c:pt idx="1">
                  <c:v>2020</c:v>
                </c:pt>
                <c:pt idx="2">
                  <c:v>2021</c:v>
                </c:pt>
                <c:pt idx="3">
                  <c:v>2022</c:v>
                </c:pt>
                <c:pt idx="4">
                  <c:v>2023</c:v>
                </c:pt>
                <c:pt idx="5">
                  <c:v>2024</c:v>
                </c:pt>
              </c:numCache>
            </c:numRef>
          </c:cat>
          <c:val>
            <c:numRef>
              <c:extLst>
                <c:ext xmlns:c15="http://schemas.microsoft.com/office/drawing/2012/chart" uri="{02D57815-91ED-43cb-92C2-25804820EDAC}">
                  <c15:fullRef>
                    <c15:sqref>'3. EMPLEO Y ACTIVIDAD ECONÓMICA'!$N$283:$W$283</c15:sqref>
                  </c15:fullRef>
                </c:ext>
              </c:extLst>
              <c:f>('3. EMPLEO Y ACTIVIDAD ECONÓMICA'!$N$283,'3. EMPLEO Y ACTIVIDAD ECONÓMICA'!$S$283:$W$283)</c:f>
              <c:numCache>
                <c:formatCode>0.0</c:formatCode>
                <c:ptCount val="6"/>
                <c:pt idx="0">
                  <c:v>10.0368983871429</c:v>
                </c:pt>
                <c:pt idx="1">
                  <c:v>9.7043118063165466</c:v>
                </c:pt>
                <c:pt idx="2">
                  <c:v>10.296684607104412</c:v>
                </c:pt>
                <c:pt idx="3">
                  <c:v>9.3916228548776139</c:v>
                </c:pt>
                <c:pt idx="4">
                  <c:v>10.082583854766614</c:v>
                </c:pt>
                <c:pt idx="5">
                  <c:v>12.072782786195209</c:v>
                </c:pt>
              </c:numCache>
            </c:numRef>
          </c:val>
          <c:extLst>
            <c:ext xmlns:c16="http://schemas.microsoft.com/office/drawing/2014/chart" uri="{C3380CC4-5D6E-409C-BE32-E72D297353CC}">
              <c16:uniqueId val="{00000035-70D6-4E73-B483-0C153CB231EA}"/>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1"/>
          <c:order val="0"/>
          <c:tx>
            <c:strRef>
              <c:f>'3. EMPLEO Y ACTIVIDAD ECONÓMICA'!$C$281</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tx1">
                  <a:lumMod val="50000"/>
                  <a:lumOff val="50000"/>
                  <a:alpha val="98000"/>
                </a:schemeClr>
              </a:solidFill>
              <a:ln w="12700">
                <a:noFill/>
                <a:miter lim="800000"/>
              </a:ln>
              <a:effectLst/>
            </c:spPr>
          </c:marker>
          <c:cat>
            <c:numRef>
              <c:extLst>
                <c:ext xmlns:c15="http://schemas.microsoft.com/office/drawing/2012/chart" uri="{02D57815-91ED-43cb-92C2-25804820EDAC}">
                  <c15:fullRef>
                    <c15:sqref>'3. EMPLEO Y ACTIVIDAD ECONÓMICA'!$N$273:$W$273</c15:sqref>
                  </c15:fullRef>
                </c:ext>
              </c:extLst>
              <c:f>('3. EMPLEO Y ACTIVIDAD ECONÓMICA'!$N$273,'3. EMPLEO Y ACTIVIDAD ECONÓMICA'!$S$273:$W$273)</c:f>
              <c:numCache>
                <c:formatCode>General</c:formatCode>
                <c:ptCount val="6"/>
                <c:pt idx="0">
                  <c:v>2015</c:v>
                </c:pt>
                <c:pt idx="1">
                  <c:v>2020</c:v>
                </c:pt>
                <c:pt idx="2">
                  <c:v>2021</c:v>
                </c:pt>
                <c:pt idx="3">
                  <c:v>2022</c:v>
                </c:pt>
                <c:pt idx="4">
                  <c:v>2023</c:v>
                </c:pt>
                <c:pt idx="5">
                  <c:v>2024</c:v>
                </c:pt>
              </c:numCache>
            </c:numRef>
          </c:cat>
          <c:val>
            <c:numRef>
              <c:extLst>
                <c:ext xmlns:c15="http://schemas.microsoft.com/office/drawing/2012/chart" uri="{02D57815-91ED-43cb-92C2-25804820EDAC}">
                  <c15:fullRef>
                    <c15:sqref>'3. EMPLEO Y ACTIVIDAD ECONÓMICA'!$N$281:$W$281</c15:sqref>
                  </c15:fullRef>
                </c:ext>
              </c:extLst>
              <c:f>('3. EMPLEO Y ACTIVIDAD ECONÓMICA'!$N$281,'3. EMPLEO Y ACTIVIDAD ECONÓMICA'!$S$281:$W$281)</c:f>
              <c:numCache>
                <c:formatCode>#,##0.0</c:formatCode>
                <c:ptCount val="6"/>
                <c:pt idx="0">
                  <c:v>8.63275781614559</c:v>
                </c:pt>
                <c:pt idx="1">
                  <c:v>7.7129803816178439</c:v>
                </c:pt>
                <c:pt idx="2">
                  <c:v>7.7200000000000006</c:v>
                </c:pt>
                <c:pt idx="3">
                  <c:v>8.3322828690281092</c:v>
                </c:pt>
                <c:pt idx="4" formatCode="0.0">
                  <c:v>6.9138521781693578</c:v>
                </c:pt>
                <c:pt idx="5" formatCode="0.0">
                  <c:v>6.3382707543920089</c:v>
                </c:pt>
              </c:numCache>
            </c:numRef>
          </c:val>
          <c:smooth val="0"/>
          <c:extLst>
            <c:ext xmlns:c16="http://schemas.microsoft.com/office/drawing/2014/chart" uri="{C3380CC4-5D6E-409C-BE32-E72D297353CC}">
              <c16:uniqueId val="{00000033-70D6-4E73-B483-0C153CB231EA}"/>
            </c:ext>
          </c:extLst>
        </c:ser>
        <c:ser>
          <c:idx val="2"/>
          <c:order val="1"/>
          <c:tx>
            <c:strRef>
              <c:f>'3. EMPLEO Y ACTIVIDAD ECONÓMICA'!$C$282</c:f>
              <c:strCache>
                <c:ptCount val="1"/>
                <c:pt idx="0">
                  <c:v>Mujeres (%)</c:v>
                </c:pt>
              </c:strCache>
            </c:strRef>
          </c:tx>
          <c:spPr>
            <a:ln w="19050" cap="rnd">
              <a:solidFill>
                <a:srgbClr val="C00000"/>
              </a:solidFill>
              <a:round/>
            </a:ln>
            <a:effectLst/>
          </c:spPr>
          <c:marker>
            <c:symbol val="circle"/>
            <c:size val="5"/>
            <c:spPr>
              <a:solidFill>
                <a:srgbClr val="C00000"/>
              </a:solidFill>
              <a:ln w="9525">
                <a:noFill/>
              </a:ln>
              <a:effectLst/>
            </c:spPr>
          </c:marker>
          <c:cat>
            <c:numRef>
              <c:extLst>
                <c:ext xmlns:c15="http://schemas.microsoft.com/office/drawing/2012/chart" uri="{02D57815-91ED-43cb-92C2-25804820EDAC}">
                  <c15:fullRef>
                    <c15:sqref>'3. EMPLEO Y ACTIVIDAD ECONÓMICA'!$N$273:$W$273</c15:sqref>
                  </c15:fullRef>
                </c:ext>
              </c:extLst>
              <c:f>('3. EMPLEO Y ACTIVIDAD ECONÓMICA'!$N$273,'3. EMPLEO Y ACTIVIDAD ECONÓMICA'!$S$273:$W$273)</c:f>
              <c:numCache>
                <c:formatCode>General</c:formatCode>
                <c:ptCount val="6"/>
                <c:pt idx="0">
                  <c:v>2015</c:v>
                </c:pt>
                <c:pt idx="1">
                  <c:v>2020</c:v>
                </c:pt>
                <c:pt idx="2">
                  <c:v>2021</c:v>
                </c:pt>
                <c:pt idx="3">
                  <c:v>2022</c:v>
                </c:pt>
                <c:pt idx="4">
                  <c:v>2023</c:v>
                </c:pt>
                <c:pt idx="5">
                  <c:v>2024</c:v>
                </c:pt>
              </c:numCache>
            </c:numRef>
          </c:cat>
          <c:val>
            <c:numRef>
              <c:extLst>
                <c:ext xmlns:c15="http://schemas.microsoft.com/office/drawing/2012/chart" uri="{02D57815-91ED-43cb-92C2-25804820EDAC}">
                  <c15:fullRef>
                    <c15:sqref>'3. EMPLEO Y ACTIVIDAD ECONÓMICA'!$N$282:$W$282</c15:sqref>
                  </c15:fullRef>
                </c:ext>
              </c:extLst>
              <c:f>('3. EMPLEO Y ACTIVIDAD ECONÓMICA'!$N$282,'3. EMPLEO Y ACTIVIDAD ECONÓMICA'!$S$282:$W$282)</c:f>
              <c:numCache>
                <c:formatCode>#,##0.0</c:formatCode>
                <c:ptCount val="6"/>
                <c:pt idx="0">
                  <c:v>18.66965620328849</c:v>
                </c:pt>
                <c:pt idx="1">
                  <c:v>17.41729218793439</c:v>
                </c:pt>
                <c:pt idx="2">
                  <c:v>18.016684607104413</c:v>
                </c:pt>
                <c:pt idx="3">
                  <c:v>17.723905723905723</c:v>
                </c:pt>
                <c:pt idx="4">
                  <c:v>16.996436032935971</c:v>
                </c:pt>
                <c:pt idx="5">
                  <c:v>18.411053540587218</c:v>
                </c:pt>
              </c:numCache>
            </c:numRef>
          </c:val>
          <c:smooth val="0"/>
          <c:extLst>
            <c:ext xmlns:c16="http://schemas.microsoft.com/office/drawing/2014/chart" uri="{C3380CC4-5D6E-409C-BE32-E72D297353CC}">
              <c16:uniqueId val="{00000034-70D6-4E73-B483-0C153CB231EA}"/>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ax val="30"/>
          <c:min val="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4.1. Salario bruto medio por hora (€)</a:t>
            </a:r>
          </a:p>
        </c:rich>
      </c:tx>
      <c:layout>
        <c:manualLayout>
          <c:xMode val="edge"/>
          <c:yMode val="edge"/>
          <c:x val="0.35837865703759142"/>
          <c:y val="2.64813184252453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 RENTA, PROT, POBREZA Y VIV'!$D$6</c:f>
              <c:strCache>
                <c:ptCount val="1"/>
                <c:pt idx="0">
                  <c:v>Brecha (€)</c:v>
                </c:pt>
              </c:strCache>
            </c:strRef>
          </c:tx>
          <c:spPr>
            <a:solidFill>
              <a:schemeClr val="accent2">
                <a:tint val="65000"/>
              </a:schemeClr>
            </a:solidFill>
            <a:ln>
              <a:noFill/>
            </a:ln>
            <a:effectLst/>
          </c:spPr>
          <c:invertIfNegative val="0"/>
          <c:dLbls>
            <c:dLbl>
              <c:idx val="0"/>
              <c:layout>
                <c:manualLayout>
                  <c:x val="0"/>
                  <c:y val="3.06241004509363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AC-42CC-8E03-04AC1265C3B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RENTA, PROT, POBREZA Y VIV'!$E$6:$W$6</c:f>
              <c:numCache>
                <c:formatCode>0.0</c:formatCode>
                <c:ptCount val="7"/>
                <c:pt idx="0">
                  <c:v>-3.9800000000000004</c:v>
                </c:pt>
                <c:pt idx="1">
                  <c:v>-2.7799999999999994</c:v>
                </c:pt>
                <c:pt idx="2">
                  <c:v>-2.4200000000000017</c:v>
                </c:pt>
                <c:pt idx="3">
                  <c:v>-2.2399999999999984</c:v>
                </c:pt>
                <c:pt idx="4">
                  <c:v>-2.120000000000001</c:v>
                </c:pt>
                <c:pt idx="5">
                  <c:v>-2.4199999999999982</c:v>
                </c:pt>
                <c:pt idx="6">
                  <c:v>-2.4199999999999982</c:v>
                </c:pt>
              </c:numCache>
            </c:numRef>
          </c:val>
          <c:extLst>
            <c:ext xmlns:c16="http://schemas.microsoft.com/office/drawing/2014/chart" uri="{C3380CC4-5D6E-409C-BE32-E72D297353CC}">
              <c16:uniqueId val="{00000001-ED26-4665-AA86-CABF0F6A6FD7}"/>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'4. RENTA, PROT, POBREZA Y VIV'!$D$4</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12700">
                <a:noFill/>
                <a:miter lim="800000"/>
              </a:ln>
              <a:effectLst/>
            </c:spPr>
          </c:marker>
          <c:cat>
            <c:numRef>
              <c:f>'4. RENTA, PROT, POBREZA Y VIV'!$E$2:$W$2</c:f>
              <c:numCache>
                <c:formatCode>General</c:formatCode>
                <c:ptCount val="7"/>
                <c:pt idx="0">
                  <c:v>2005</c:v>
                </c:pt>
                <c:pt idx="1">
                  <c:v>2010</c:v>
                </c:pt>
                <c:pt idx="2">
                  <c:v>2015</c:v>
                </c:pt>
                <c:pt idx="3">
                  <c:v>2020</c:v>
                </c:pt>
                <c:pt idx="4">
                  <c:v>2021</c:v>
                </c:pt>
                <c:pt idx="5">
                  <c:v>2022</c:v>
                </c:pt>
                <c:pt idx="6">
                  <c:v>2023</c:v>
                </c:pt>
              </c:numCache>
            </c:numRef>
          </c:cat>
          <c:val>
            <c:numRef>
              <c:f>'4. RENTA, PROT, POBREZA Y VIV'!$E$4:$W$4</c:f>
              <c:numCache>
                <c:formatCode>0.0</c:formatCode>
                <c:ptCount val="7"/>
                <c:pt idx="0">
                  <c:v>15.41</c:v>
                </c:pt>
                <c:pt idx="1">
                  <c:v>17.559999999999999</c:v>
                </c:pt>
                <c:pt idx="2">
                  <c:v>17.87</c:v>
                </c:pt>
                <c:pt idx="3">
                  <c:v>19.11</c:v>
                </c:pt>
                <c:pt idx="4">
                  <c:v>19.46</c:v>
                </c:pt>
                <c:pt idx="5">
                  <c:v>20.59</c:v>
                </c:pt>
                <c:pt idx="6">
                  <c:v>20.59</c:v>
                </c:pt>
              </c:numCache>
            </c:numRef>
          </c:val>
          <c:smooth val="0"/>
          <c:extLst>
            <c:ext xmlns:c16="http://schemas.microsoft.com/office/drawing/2014/chart" uri="{C3380CC4-5D6E-409C-BE32-E72D297353CC}">
              <c16:uniqueId val="{00000002-ED26-4665-AA86-CABF0F6A6FD7}"/>
            </c:ext>
          </c:extLst>
        </c:ser>
        <c:ser>
          <c:idx val="1"/>
          <c:order val="1"/>
          <c:tx>
            <c:strRef>
              <c:f>'4. RENTA, PROT, POBREZA Y VIV'!$D$5</c:f>
              <c:strCache>
                <c:ptCount val="1"/>
                <c:pt idx="0">
                  <c:v>Mujeres (€)</c:v>
                </c:pt>
              </c:strCache>
            </c:strRef>
          </c:tx>
          <c:spPr>
            <a:ln w="19050" cap="rnd">
              <a:solidFill>
                <a:srgbClr val="C00000"/>
              </a:solidFill>
              <a:round/>
            </a:ln>
            <a:effectLst/>
          </c:spPr>
          <c:marker>
            <c:symbol val="circle"/>
            <c:size val="5"/>
            <c:spPr>
              <a:solidFill>
                <a:srgbClr val="C00000">
                  <a:alpha val="97000"/>
                </a:srgbClr>
              </a:solidFill>
              <a:ln w="12700">
                <a:noFill/>
                <a:miter lim="800000"/>
              </a:ln>
              <a:effectLst/>
            </c:spPr>
          </c:marker>
          <c:cat>
            <c:numRef>
              <c:f>'4. RENTA, PROT, POBREZA Y VIV'!$E$2:$W$2</c:f>
              <c:numCache>
                <c:formatCode>General</c:formatCode>
                <c:ptCount val="7"/>
                <c:pt idx="0">
                  <c:v>2005</c:v>
                </c:pt>
                <c:pt idx="1">
                  <c:v>2010</c:v>
                </c:pt>
                <c:pt idx="2">
                  <c:v>2015</c:v>
                </c:pt>
                <c:pt idx="3">
                  <c:v>2020</c:v>
                </c:pt>
                <c:pt idx="4">
                  <c:v>2021</c:v>
                </c:pt>
                <c:pt idx="5">
                  <c:v>2022</c:v>
                </c:pt>
                <c:pt idx="6">
                  <c:v>2023</c:v>
                </c:pt>
              </c:numCache>
            </c:numRef>
          </c:cat>
          <c:val>
            <c:numRef>
              <c:f>'4. RENTA, PROT, POBREZA Y VIV'!$E$5:$W$5</c:f>
              <c:numCache>
                <c:formatCode>0.0</c:formatCode>
                <c:ptCount val="7"/>
                <c:pt idx="0">
                  <c:v>11.43</c:v>
                </c:pt>
                <c:pt idx="1">
                  <c:v>14.78</c:v>
                </c:pt>
                <c:pt idx="2">
                  <c:v>15.45</c:v>
                </c:pt>
                <c:pt idx="3">
                  <c:v>16.87</c:v>
                </c:pt>
                <c:pt idx="4">
                  <c:v>17.34</c:v>
                </c:pt>
                <c:pt idx="5">
                  <c:v>18.170000000000002</c:v>
                </c:pt>
                <c:pt idx="6">
                  <c:v>18.170000000000002</c:v>
                </c:pt>
              </c:numCache>
            </c:numRef>
          </c:val>
          <c:smooth val="0"/>
          <c:extLst>
            <c:ext xmlns:c16="http://schemas.microsoft.com/office/drawing/2014/chart" uri="{C3380CC4-5D6E-409C-BE32-E72D297353CC}">
              <c16:uniqueId val="{00000003-ED26-4665-AA86-CABF0F6A6FD7}"/>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4.2. Importe medio mensual de pensiones contributivas (€)</a:t>
            </a:r>
          </a:p>
        </c:rich>
      </c:tx>
      <c:layout>
        <c:manualLayout>
          <c:xMode val="edge"/>
          <c:yMode val="edge"/>
          <c:x val="0.23946415197433807"/>
          <c:y val="2.49221810656982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 RENTA, PROT, POBREZA Y VIV'!$D$12</c:f>
              <c:strCache>
                <c:ptCount val="1"/>
                <c:pt idx="0">
                  <c:v>Brecha (€)</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'4. RENTA, PROT, POBREZA Y VIV'!$J$8:$V$8</c15:sqref>
                  </c15:fullRef>
                </c:ext>
              </c:extLst>
              <c:f>'4. RENTA, PROT, POBREZA Y VIV'!$K$8:$V$8</c:f>
              <c:numCache>
                <c:formatCode>General</c:formatCode>
                <c:ptCount val="4"/>
                <c:pt idx="0">
                  <c:v>2015</c:v>
                </c:pt>
                <c:pt idx="1">
                  <c:v>2020</c:v>
                </c:pt>
                <c:pt idx="2">
                  <c:v>2021</c:v>
                </c:pt>
                <c:pt idx="3">
                  <c:v>2022</c:v>
                </c:pt>
              </c:numCache>
            </c:numRef>
          </c:cat>
          <c:val>
            <c:numRef>
              <c:extLst>
                <c:ext xmlns:c15="http://schemas.microsoft.com/office/drawing/2012/chart" uri="{02D57815-91ED-43cb-92C2-25804820EDAC}">
                  <c15:fullRef>
                    <c15:sqref>'4. RENTA, PROT, POBREZA Y VIV'!$J$12:$X$12</c15:sqref>
                  </c15:fullRef>
                </c:ext>
              </c:extLst>
              <c:f>'4. RENTA, PROT, POBREZA Y VIV'!$K$12:$X$12</c:f>
              <c:numCache>
                <c:formatCode>0.0</c:formatCode>
                <c:ptCount val="6"/>
                <c:pt idx="0">
                  <c:v>-517.43000000000006</c:v>
                </c:pt>
                <c:pt idx="1">
                  <c:v>-489</c:v>
                </c:pt>
                <c:pt idx="2">
                  <c:v>-489</c:v>
                </c:pt>
                <c:pt idx="3">
                  <c:v>-489</c:v>
                </c:pt>
                <c:pt idx="4">
                  <c:v>-544</c:v>
                </c:pt>
                <c:pt idx="5" formatCode="_-* #,##0.0_-;\-* #,##0.0_-;_-* &quot;-&quot;??_-;_-@_-">
                  <c:v>-536</c:v>
                </c:pt>
              </c:numCache>
            </c:numRef>
          </c:val>
          <c:extLst>
            <c:ext xmlns:c15="http://schemas.microsoft.com/office/drawing/2012/chart" uri="{02D57815-91ED-43cb-92C2-25804820EDAC}">
              <c15:categoryFilterExceptions>
                <c15:categoryFilterException>
                  <c15:sqref>'4. RENTA, PROT, POBREZA Y VIV'!$J$12</c15:sqref>
                  <c15:dLbl>
                    <c:idx val="-1"/>
                    <c:layout>
                      <c:manualLayout>
                        <c:x val="0"/>
                        <c:y val="1.3243593197361675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uri="{CE6537A1-D6FC-4f65-9D91-7224C49458BB}">
                        <c15:layout>
                          <c:manualLayout>
                            <c:w val="8.0745186302011454E-2"/>
                            <c:h val="5.2230064351590992E-2"/>
                          </c:manualLayout>
                        </c15:layout>
                      </c:ext>
                      <c:ext xmlns:c16="http://schemas.microsoft.com/office/drawing/2014/chart" uri="{C3380CC4-5D6E-409C-BE32-E72D297353CC}">
                        <c16:uniqueId val="{00000000-7B9B-4680-B19D-BE54EA39749E}"/>
                      </c:ext>
                    </c:extLst>
                  </c15:dLbl>
                </c15:categoryFilterException>
              </c15:categoryFilterExceptions>
            </c:ext>
            <c:ext xmlns:c16="http://schemas.microsoft.com/office/drawing/2014/chart" uri="{C3380CC4-5D6E-409C-BE32-E72D297353CC}">
              <c16:uniqueId val="{00000005-BBDA-4EF3-8601-94C36550346B}"/>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'4. RENTA, PROT, POBREZA Y VIV'!$D$10</c:f>
              <c:strCache>
                <c:ptCount val="1"/>
                <c:pt idx="0">
                  <c:v>Hombres (€)</c:v>
                </c:pt>
              </c:strCache>
            </c:strRef>
          </c:tx>
          <c:spPr>
            <a:ln w="12700" cap="flat">
              <a:solidFill>
                <a:schemeClr val="bg2">
                  <a:lumMod val="50000"/>
                </a:schemeClr>
              </a:solidFill>
              <a:miter lim="800000"/>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'4. RENTA, PROT, POBREZA Y VIV'!$J$8:$X$8</c15:sqref>
                  </c15:fullRef>
                </c:ext>
              </c:extLst>
              <c:f>'4. RENTA, PROT, POBREZA Y VIV'!$K$8:$X$8</c:f>
              <c:numCache>
                <c:formatCode>General</c:formatCode>
                <c:ptCount val="6"/>
                <c:pt idx="0">
                  <c:v>2015</c:v>
                </c:pt>
                <c:pt idx="1">
                  <c:v>2020</c:v>
                </c:pt>
                <c:pt idx="2">
                  <c:v>2021</c:v>
                </c:pt>
                <c:pt idx="3">
                  <c:v>2022</c:v>
                </c:pt>
                <c:pt idx="4">
                  <c:v>2023</c:v>
                </c:pt>
                <c:pt idx="5">
                  <c:v>2024</c:v>
                </c:pt>
              </c:numCache>
            </c:numRef>
          </c:cat>
          <c:val>
            <c:numRef>
              <c:extLst>
                <c:ext xmlns:c15="http://schemas.microsoft.com/office/drawing/2012/chart" uri="{02D57815-91ED-43cb-92C2-25804820EDAC}">
                  <c15:fullRef>
                    <c15:sqref>'4. RENTA, PROT, POBREZA Y VIV'!$J$10:$X$10</c15:sqref>
                  </c15:fullRef>
                </c:ext>
              </c:extLst>
              <c:f>'4. RENTA, PROT, POBREZA Y VIV'!$K$10:$X$10</c:f>
              <c:numCache>
                <c:formatCode>_-* #,##0.0_-;\-* #,##0.0_-;_-* "-"??_-;_-@_-</c:formatCode>
                <c:ptCount val="6"/>
                <c:pt idx="0">
                  <c:v>1376.18</c:v>
                </c:pt>
                <c:pt idx="1">
                  <c:v>1477</c:v>
                </c:pt>
                <c:pt idx="2">
                  <c:v>1509</c:v>
                </c:pt>
                <c:pt idx="3">
                  <c:v>1536</c:v>
                </c:pt>
                <c:pt idx="4">
                  <c:v>1745</c:v>
                </c:pt>
                <c:pt idx="5" formatCode="0.0">
                  <c:v>1754</c:v>
                </c:pt>
              </c:numCache>
            </c:numRef>
          </c:val>
          <c:smooth val="0"/>
          <c:extLst>
            <c:ext xmlns:c16="http://schemas.microsoft.com/office/drawing/2014/chart" uri="{C3380CC4-5D6E-409C-BE32-E72D297353CC}">
              <c16:uniqueId val="{00000006-BBDA-4EF3-8601-94C36550346B}"/>
            </c:ext>
          </c:extLst>
        </c:ser>
        <c:ser>
          <c:idx val="1"/>
          <c:order val="1"/>
          <c:tx>
            <c:strRef>
              <c:f>'4. RENTA, PROT, POBREZA Y VIV'!$D$11</c:f>
              <c:strCache>
                <c:ptCount val="1"/>
                <c:pt idx="0">
                  <c:v>Mujeres (€)</c:v>
                </c:pt>
              </c:strCache>
            </c:strRef>
          </c:tx>
          <c:spPr>
            <a:ln w="12700" cap="flat">
              <a:solidFill>
                <a:srgbClr val="C00000"/>
              </a:solidFill>
              <a:miter lim="800000"/>
            </a:ln>
            <a:effectLst/>
          </c:spPr>
          <c:marker>
            <c:symbol val="circle"/>
            <c:size val="5"/>
            <c:spPr>
              <a:solidFill>
                <a:srgbClr val="C00000"/>
              </a:solidFill>
              <a:ln w="12700">
                <a:noFill/>
                <a:miter lim="800000"/>
              </a:ln>
              <a:effectLst/>
            </c:spPr>
          </c:marker>
          <c:cat>
            <c:numRef>
              <c:extLst>
                <c:ext xmlns:c15="http://schemas.microsoft.com/office/drawing/2012/chart" uri="{02D57815-91ED-43cb-92C2-25804820EDAC}">
                  <c15:fullRef>
                    <c15:sqref>'4. RENTA, PROT, POBREZA Y VIV'!$J$8:$X$8</c15:sqref>
                  </c15:fullRef>
                </c:ext>
              </c:extLst>
              <c:f>'4. RENTA, PROT, POBREZA Y VIV'!$K$8:$X$8</c:f>
              <c:numCache>
                <c:formatCode>General</c:formatCode>
                <c:ptCount val="6"/>
                <c:pt idx="0">
                  <c:v>2015</c:v>
                </c:pt>
                <c:pt idx="1">
                  <c:v>2020</c:v>
                </c:pt>
                <c:pt idx="2">
                  <c:v>2021</c:v>
                </c:pt>
                <c:pt idx="3">
                  <c:v>2022</c:v>
                </c:pt>
                <c:pt idx="4">
                  <c:v>2023</c:v>
                </c:pt>
                <c:pt idx="5">
                  <c:v>2024</c:v>
                </c:pt>
              </c:numCache>
            </c:numRef>
          </c:cat>
          <c:val>
            <c:numRef>
              <c:extLst>
                <c:ext xmlns:c15="http://schemas.microsoft.com/office/drawing/2012/chart" uri="{02D57815-91ED-43cb-92C2-25804820EDAC}">
                  <c15:fullRef>
                    <c15:sqref>'4. RENTA, PROT, POBREZA Y VIV'!$J$11:$X$11</c15:sqref>
                  </c15:fullRef>
                </c:ext>
              </c:extLst>
              <c:f>'4. RENTA, PROT, POBREZA Y VIV'!$K$11:$X$11</c:f>
              <c:numCache>
                <c:formatCode>_-* #,##0.0_-;\-* #,##0.0_-;_-* "-"??_-;_-@_-</c:formatCode>
                <c:ptCount val="6"/>
                <c:pt idx="0">
                  <c:v>858.75</c:v>
                </c:pt>
                <c:pt idx="1">
                  <c:v>988</c:v>
                </c:pt>
                <c:pt idx="2">
                  <c:v>1020</c:v>
                </c:pt>
                <c:pt idx="3">
                  <c:v>1047</c:v>
                </c:pt>
                <c:pt idx="4">
                  <c:v>1201</c:v>
                </c:pt>
                <c:pt idx="5" formatCode="0.0">
                  <c:v>1218</c:v>
                </c:pt>
              </c:numCache>
            </c:numRef>
          </c:val>
          <c:smooth val="0"/>
          <c:extLst>
            <c:ext xmlns:c16="http://schemas.microsoft.com/office/drawing/2014/chart" uri="{C3380CC4-5D6E-409C-BE32-E72D297353CC}">
              <c16:uniqueId val="{00000007-BBDA-4EF3-8601-94C36550346B}"/>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noFill/>
        </a:ln>
        <a:effectLst/>
      </c:spPr>
    </c:plotArea>
    <c:legend>
      <c:legendPos val="b"/>
      <c:layout>
        <c:manualLayout>
          <c:xMode val="edge"/>
          <c:yMode val="edge"/>
          <c:x val="0.38340914992764147"/>
          <c:y val="0.90214333341904462"/>
          <c:w val="0.4900575540601026"/>
          <c:h val="7.54895492726460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 4.3. Tasa de riesgo de pobreza o exclusión social (Indicador AROPE)</a:t>
            </a:r>
          </a:p>
        </c:rich>
      </c:tx>
      <c:layout>
        <c:manualLayout>
          <c:xMode val="edge"/>
          <c:yMode val="edge"/>
          <c:x val="0.18134864967923103"/>
          <c:y val="2.77180823310698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3827374982118341"/>
          <c:y val="0.15046058320353539"/>
          <c:w val="0.73893885785413882"/>
          <c:h val="0.4659139559316019"/>
        </c:manualLayout>
      </c:layout>
      <c:barChart>
        <c:barDir val="col"/>
        <c:grouping val="clustered"/>
        <c:varyColors val="0"/>
        <c:ser>
          <c:idx val="3"/>
          <c:order val="2"/>
          <c:tx>
            <c:strRef>
              <c:f>'4. RENTA, PROT, POBREZA Y VIV'!$D$18</c:f>
              <c:strCache>
                <c:ptCount val="1"/>
                <c:pt idx="0">
                  <c:v>Brecha (punt.porc.)</c:v>
                </c:pt>
              </c:strCache>
            </c:strRef>
          </c:tx>
          <c:spPr>
            <a:solidFill>
              <a:srgbClr val="FF8989"/>
            </a:solidFill>
            <a:ln>
              <a:noFill/>
            </a:ln>
            <a:effectLst/>
          </c:spPr>
          <c:invertIfNegative val="0"/>
          <c:dPt>
            <c:idx val="1"/>
            <c:invertIfNegative val="0"/>
            <c:bubble3D val="0"/>
            <c:spPr>
              <a:solidFill>
                <a:srgbClr val="FF8989"/>
              </a:solidFill>
              <a:ln>
                <a:noFill/>
              </a:ln>
              <a:effectLst/>
            </c:spPr>
            <c:extLst>
              <c:ext xmlns:c16="http://schemas.microsoft.com/office/drawing/2014/chart" uri="{C3380CC4-5D6E-409C-BE32-E72D297353CC}">
                <c16:uniqueId val="{00000001-28BA-4A0E-BB9D-868B95B807A2}"/>
              </c:ext>
            </c:extLst>
          </c:dPt>
          <c:dPt>
            <c:idx val="2"/>
            <c:invertIfNegative val="0"/>
            <c:bubble3D val="0"/>
            <c:spPr>
              <a:solidFill>
                <a:srgbClr val="FF8989"/>
              </a:solidFill>
              <a:ln>
                <a:noFill/>
              </a:ln>
              <a:effectLst/>
            </c:spPr>
            <c:extLst>
              <c:ext xmlns:c16="http://schemas.microsoft.com/office/drawing/2014/chart" uri="{C3380CC4-5D6E-409C-BE32-E72D297353CC}">
                <c16:uniqueId val="{00000003-28BA-4A0E-BB9D-868B95B807A2}"/>
              </c:ext>
            </c:extLst>
          </c:dPt>
          <c:dPt>
            <c:idx val="3"/>
            <c:invertIfNegative val="0"/>
            <c:bubble3D val="0"/>
            <c:spPr>
              <a:solidFill>
                <a:srgbClr val="FF8989"/>
              </a:solidFill>
              <a:ln>
                <a:noFill/>
              </a:ln>
              <a:effectLst/>
            </c:spPr>
            <c:extLst>
              <c:ext xmlns:c16="http://schemas.microsoft.com/office/drawing/2014/chart" uri="{C3380CC4-5D6E-409C-BE32-E72D297353CC}">
                <c16:uniqueId val="{00000005-28BA-4A0E-BB9D-868B95B807A2}"/>
              </c:ext>
            </c:extLst>
          </c:dPt>
          <c:dPt>
            <c:idx val="4"/>
            <c:invertIfNegative val="0"/>
            <c:bubble3D val="0"/>
            <c:spPr>
              <a:solidFill>
                <a:srgbClr val="FF8989"/>
              </a:solidFill>
              <a:ln>
                <a:noFill/>
              </a:ln>
              <a:effectLst/>
            </c:spPr>
            <c:extLst>
              <c:ext xmlns:c16="http://schemas.microsoft.com/office/drawing/2014/chart" uri="{C3380CC4-5D6E-409C-BE32-E72D297353CC}">
                <c16:uniqueId val="{00000007-28BA-4A0E-BB9D-868B95B807A2}"/>
              </c:ext>
            </c:extLst>
          </c:dPt>
          <c:cat>
            <c:numRef>
              <c:f>'4. RENTA, PROT, POBREZA Y VIV'!$E$14:$W$14</c:f>
              <c:numCache>
                <c:formatCode>General</c:formatCode>
                <c:ptCount val="7"/>
                <c:pt idx="0">
                  <c:v>2005</c:v>
                </c:pt>
                <c:pt idx="1">
                  <c:v>2010</c:v>
                </c:pt>
                <c:pt idx="2">
                  <c:v>2015</c:v>
                </c:pt>
                <c:pt idx="3">
                  <c:v>2020</c:v>
                </c:pt>
                <c:pt idx="4">
                  <c:v>2021</c:v>
                </c:pt>
                <c:pt idx="5">
                  <c:v>2022</c:v>
                </c:pt>
                <c:pt idx="6">
                  <c:v>2023</c:v>
                </c:pt>
              </c:numCache>
            </c:numRef>
          </c:cat>
          <c:val>
            <c:numRef>
              <c:f>'4. RENTA, PROT, POBREZA Y VIV'!$E$18:$W$18</c:f>
              <c:numCache>
                <c:formatCode>#,##0.0</c:formatCode>
                <c:ptCount val="7"/>
                <c:pt idx="1">
                  <c:v>6.2000000000000028</c:v>
                </c:pt>
                <c:pt idx="2">
                  <c:v>2.8999999999999986</c:v>
                </c:pt>
                <c:pt idx="3">
                  <c:v>-3</c:v>
                </c:pt>
                <c:pt idx="4">
                  <c:v>1.0150047790712868</c:v>
                </c:pt>
                <c:pt idx="5">
                  <c:v>5.5</c:v>
                </c:pt>
                <c:pt idx="6">
                  <c:v>3.1999999999999993</c:v>
                </c:pt>
              </c:numCache>
            </c:numRef>
          </c:val>
          <c:extLst>
            <c:ext xmlns:c16="http://schemas.microsoft.com/office/drawing/2014/chart" uri="{C3380CC4-5D6E-409C-BE32-E72D297353CC}">
              <c16:uniqueId val="{00000031-DD72-4D1E-9B5C-0EA90C73D7B1}"/>
            </c:ext>
          </c:extLst>
        </c:ser>
        <c:dLbls>
          <c:showLegendKey val="0"/>
          <c:showVal val="0"/>
          <c:showCatName val="0"/>
          <c:showSerName val="0"/>
          <c:showPercent val="0"/>
          <c:showBubbleSize val="0"/>
        </c:dLbls>
        <c:gapWidth val="150"/>
        <c:axId val="1178732271"/>
        <c:axId val="1404224031"/>
      </c:barChart>
      <c:lineChart>
        <c:grouping val="standard"/>
        <c:varyColors val="0"/>
        <c:ser>
          <c:idx val="1"/>
          <c:order val="0"/>
          <c:tx>
            <c:strRef>
              <c:f>'4. RENTA, PROT, POBREZA Y VIV'!$D$16</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tx1">
                  <a:lumMod val="50000"/>
                  <a:lumOff val="50000"/>
                </a:schemeClr>
              </a:solidFill>
              <a:ln w="12700">
                <a:noFill/>
                <a:miter lim="800000"/>
              </a:ln>
              <a:effectLst/>
            </c:spPr>
          </c:marker>
          <c:cat>
            <c:numRef>
              <c:f>'4. RENTA, PROT, POBREZA Y VIV'!$E$14:$W$14</c:f>
              <c:numCache>
                <c:formatCode>General</c:formatCode>
                <c:ptCount val="7"/>
                <c:pt idx="0">
                  <c:v>2005</c:v>
                </c:pt>
                <c:pt idx="1">
                  <c:v>2010</c:v>
                </c:pt>
                <c:pt idx="2">
                  <c:v>2015</c:v>
                </c:pt>
                <c:pt idx="3">
                  <c:v>2020</c:v>
                </c:pt>
                <c:pt idx="4">
                  <c:v>2021</c:v>
                </c:pt>
                <c:pt idx="5">
                  <c:v>2022</c:v>
                </c:pt>
                <c:pt idx="6">
                  <c:v>2023</c:v>
                </c:pt>
              </c:numCache>
            </c:numRef>
          </c:cat>
          <c:val>
            <c:numRef>
              <c:f>'4. RENTA, PROT, POBREZA Y VIV'!$E$16:$W$16</c:f>
              <c:numCache>
                <c:formatCode>0.0</c:formatCode>
                <c:ptCount val="7"/>
                <c:pt idx="1">
                  <c:v>26.5</c:v>
                </c:pt>
                <c:pt idx="2">
                  <c:v>28.1</c:v>
                </c:pt>
                <c:pt idx="3">
                  <c:v>25.4</c:v>
                </c:pt>
                <c:pt idx="4">
                  <c:v>27.630548293372438</c:v>
                </c:pt>
                <c:pt idx="5" formatCode="General">
                  <c:v>25.7</c:v>
                </c:pt>
                <c:pt idx="6" formatCode="General">
                  <c:v>22</c:v>
                </c:pt>
              </c:numCache>
            </c:numRef>
          </c:val>
          <c:smooth val="0"/>
          <c:extLst>
            <c:ext xmlns:c16="http://schemas.microsoft.com/office/drawing/2014/chart" uri="{C3380CC4-5D6E-409C-BE32-E72D297353CC}">
              <c16:uniqueId val="{0000002F-DD72-4D1E-9B5C-0EA90C73D7B1}"/>
            </c:ext>
          </c:extLst>
        </c:ser>
        <c:ser>
          <c:idx val="2"/>
          <c:order val="1"/>
          <c:tx>
            <c:strRef>
              <c:f>'4. RENTA, PROT, POBREZA Y VIV'!$D$17</c:f>
              <c:strCache>
                <c:ptCount val="1"/>
                <c:pt idx="0">
                  <c:v>Mujeres (%)</c:v>
                </c:pt>
              </c:strCache>
            </c:strRef>
          </c:tx>
          <c:spPr>
            <a:ln w="19050" cap="rnd">
              <a:solidFill>
                <a:srgbClr val="C00000"/>
              </a:solidFill>
              <a:round/>
            </a:ln>
            <a:effectLst/>
          </c:spPr>
          <c:marker>
            <c:symbol val="circle"/>
            <c:size val="5"/>
            <c:spPr>
              <a:solidFill>
                <a:srgbClr val="C00000"/>
              </a:solidFill>
              <a:ln w="9525">
                <a:noFill/>
              </a:ln>
              <a:effectLst/>
            </c:spPr>
          </c:marker>
          <c:cat>
            <c:numRef>
              <c:f>'4. RENTA, PROT, POBREZA Y VIV'!$E$14:$W$14</c:f>
              <c:numCache>
                <c:formatCode>General</c:formatCode>
                <c:ptCount val="7"/>
                <c:pt idx="0">
                  <c:v>2005</c:v>
                </c:pt>
                <c:pt idx="1">
                  <c:v>2010</c:v>
                </c:pt>
                <c:pt idx="2">
                  <c:v>2015</c:v>
                </c:pt>
                <c:pt idx="3">
                  <c:v>2020</c:v>
                </c:pt>
                <c:pt idx="4">
                  <c:v>2021</c:v>
                </c:pt>
                <c:pt idx="5">
                  <c:v>2022</c:v>
                </c:pt>
                <c:pt idx="6">
                  <c:v>2023</c:v>
                </c:pt>
              </c:numCache>
            </c:numRef>
          </c:cat>
          <c:val>
            <c:numRef>
              <c:f>'4. RENTA, PROT, POBREZA Y VIV'!$E$17:$W$17</c:f>
              <c:numCache>
                <c:formatCode>0.0</c:formatCode>
                <c:ptCount val="7"/>
                <c:pt idx="1">
                  <c:v>32.700000000000003</c:v>
                </c:pt>
                <c:pt idx="2">
                  <c:v>31</c:v>
                </c:pt>
                <c:pt idx="3">
                  <c:v>22.4</c:v>
                </c:pt>
                <c:pt idx="4">
                  <c:v>28.645553072443725</c:v>
                </c:pt>
                <c:pt idx="5" formatCode="General">
                  <c:v>31.2</c:v>
                </c:pt>
                <c:pt idx="6" formatCode="_-* #,##0.0_-;\-* #,##0.0_-;_-* &quot;-&quot;??_-;_-@_-">
                  <c:v>25.2</c:v>
                </c:pt>
              </c:numCache>
            </c:numRef>
          </c:val>
          <c:smooth val="0"/>
          <c:extLst>
            <c:ext xmlns:c16="http://schemas.microsoft.com/office/drawing/2014/chart" uri="{C3380CC4-5D6E-409C-BE32-E72D297353CC}">
              <c16:uniqueId val="{00000030-DD72-4D1E-9B5C-0EA90C73D7B1}"/>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15"/>
        </c:scaling>
        <c:delete val="0"/>
        <c:axPos val="l"/>
        <c:majorGridlines>
          <c:spPr>
            <a:ln w="9525" cap="flat" cmpd="sng" algn="ctr">
              <a:no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6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a:t> </a:t>
            </a:r>
            <a:r>
              <a:rPr lang="it-IT" sz="1200" b="1"/>
              <a:t>4.4. Tasa de riesgo de pobreza (%)</a:t>
            </a:r>
            <a:endParaRPr lang="it-IT" b="1"/>
          </a:p>
        </c:rich>
      </c:tx>
      <c:layout>
        <c:manualLayout>
          <c:xMode val="edge"/>
          <c:yMode val="edge"/>
          <c:x val="0.33908266476379922"/>
          <c:y val="2.49367777145987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'4. RENTA, PROT, POBREZA Y VIV'!$D$23</c:f>
              <c:strCache>
                <c:ptCount val="1"/>
                <c:pt idx="0">
                  <c:v>Brecha (punt.porc.)</c:v>
                </c:pt>
              </c:strCache>
            </c:strRef>
          </c:tx>
          <c:spPr>
            <a:solidFill>
              <a:srgbClr val="FF8989"/>
            </a:solidFill>
            <a:ln>
              <a:noFill/>
            </a:ln>
            <a:effectLst/>
          </c:spPr>
          <c:invertIfNegative val="0"/>
          <c:dPt>
            <c:idx val="0"/>
            <c:invertIfNegative val="0"/>
            <c:bubble3D val="0"/>
            <c:spPr>
              <a:solidFill>
                <a:srgbClr val="FF8989"/>
              </a:solidFill>
              <a:ln>
                <a:noFill/>
              </a:ln>
              <a:effectLst/>
            </c:spPr>
            <c:extLst>
              <c:ext xmlns:c16="http://schemas.microsoft.com/office/drawing/2014/chart" uri="{C3380CC4-5D6E-409C-BE32-E72D297353CC}">
                <c16:uniqueId val="{00000001-5D66-4B2A-8DA7-FEE77346EFA3}"/>
              </c:ext>
            </c:extLst>
          </c:dPt>
          <c:cat>
            <c:numRef>
              <c:f>'4. RENTA, PROT, POBREZA Y VIV'!$J$19:$W$19</c:f>
              <c:numCache>
                <c:formatCode>General</c:formatCode>
                <c:ptCount val="6"/>
                <c:pt idx="0">
                  <c:v>2010</c:v>
                </c:pt>
                <c:pt idx="1">
                  <c:v>2015</c:v>
                </c:pt>
                <c:pt idx="2">
                  <c:v>2020</c:v>
                </c:pt>
                <c:pt idx="3">
                  <c:v>2021</c:v>
                </c:pt>
                <c:pt idx="4">
                  <c:v>2022</c:v>
                </c:pt>
                <c:pt idx="5">
                  <c:v>2023</c:v>
                </c:pt>
              </c:numCache>
            </c:numRef>
          </c:cat>
          <c:val>
            <c:numRef>
              <c:f>'4. RENTA, PROT, POBREZA Y VIV'!$J$23:$W$23</c:f>
              <c:numCache>
                <c:formatCode>#,##0.0</c:formatCode>
                <c:ptCount val="6"/>
                <c:pt idx="0">
                  <c:v>5.16</c:v>
                </c:pt>
                <c:pt idx="1">
                  <c:v>2.34</c:v>
                </c:pt>
                <c:pt idx="2">
                  <c:v>-2.1799999999999997</c:v>
                </c:pt>
                <c:pt idx="3">
                  <c:v>0.25999999999999801</c:v>
                </c:pt>
                <c:pt idx="4">
                  <c:v>4.8999999999999986</c:v>
                </c:pt>
                <c:pt idx="5">
                  <c:v>2.6000000000000014</c:v>
                </c:pt>
              </c:numCache>
            </c:numRef>
          </c:val>
          <c:extLst>
            <c:ext xmlns:c16="http://schemas.microsoft.com/office/drawing/2014/chart" uri="{C3380CC4-5D6E-409C-BE32-E72D297353CC}">
              <c16:uniqueId val="{00000016-6DF5-459A-809B-1EA3E6A56A86}"/>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0"/>
          <c:order val="0"/>
          <c:tx>
            <c:strRef>
              <c:f>'4. RENTA, PROT, POBREZA Y VIV'!$D$21</c:f>
              <c:strCache>
                <c:ptCount val="1"/>
                <c:pt idx="0">
                  <c:v>Hombres (%)</c:v>
                </c:pt>
              </c:strCache>
            </c:strRef>
          </c:tx>
          <c:spPr>
            <a:ln w="12700" cap="flat">
              <a:solidFill>
                <a:schemeClr val="accent3">
                  <a:lumMod val="75000"/>
                </a:schemeClr>
              </a:solidFill>
              <a:miter lim="800000"/>
            </a:ln>
            <a:effectLst/>
          </c:spPr>
          <c:marker>
            <c:symbol val="circle"/>
            <c:size val="5"/>
            <c:spPr>
              <a:solidFill>
                <a:schemeClr val="accent3">
                  <a:lumMod val="75000"/>
                </a:schemeClr>
              </a:solidFill>
              <a:ln w="12700">
                <a:noFill/>
                <a:miter lim="800000"/>
              </a:ln>
              <a:effectLst/>
            </c:spPr>
          </c:marker>
          <c:cat>
            <c:numRef>
              <c:f>'4. RENTA, PROT, POBREZA Y VIV'!$J$19:$W$19</c:f>
              <c:numCache>
                <c:formatCode>General</c:formatCode>
                <c:ptCount val="6"/>
                <c:pt idx="0">
                  <c:v>2010</c:v>
                </c:pt>
                <c:pt idx="1">
                  <c:v>2015</c:v>
                </c:pt>
                <c:pt idx="2">
                  <c:v>2020</c:v>
                </c:pt>
                <c:pt idx="3">
                  <c:v>2021</c:v>
                </c:pt>
                <c:pt idx="4">
                  <c:v>2022</c:v>
                </c:pt>
                <c:pt idx="5">
                  <c:v>2023</c:v>
                </c:pt>
              </c:numCache>
            </c:numRef>
          </c:cat>
          <c:val>
            <c:numRef>
              <c:f>'4. RENTA, PROT, POBREZA Y VIV'!$J$21:$W$21</c:f>
              <c:numCache>
                <c:formatCode>0.0</c:formatCode>
                <c:ptCount val="6"/>
                <c:pt idx="0">
                  <c:v>22.74</c:v>
                </c:pt>
                <c:pt idx="1">
                  <c:v>25.24</c:v>
                </c:pt>
                <c:pt idx="2">
                  <c:v>21.15</c:v>
                </c:pt>
                <c:pt idx="3">
                  <c:v>22.96</c:v>
                </c:pt>
                <c:pt idx="4" formatCode="General">
                  <c:v>22.5</c:v>
                </c:pt>
                <c:pt idx="5" formatCode="General">
                  <c:v>17.7</c:v>
                </c:pt>
              </c:numCache>
            </c:numRef>
          </c:val>
          <c:smooth val="0"/>
          <c:extLst>
            <c:ext xmlns:c16="http://schemas.microsoft.com/office/drawing/2014/chart" uri="{C3380CC4-5D6E-409C-BE32-E72D297353CC}">
              <c16:uniqueId val="{00000002-F956-4F50-ABCF-C04A80F61901}"/>
            </c:ext>
          </c:extLst>
        </c:ser>
        <c:ser>
          <c:idx val="1"/>
          <c:order val="1"/>
          <c:tx>
            <c:strRef>
              <c:f>'4. RENTA, PROT, POBREZA Y VIV'!$D$22</c:f>
              <c:strCache>
                <c:ptCount val="1"/>
                <c:pt idx="0">
                  <c:v>Mujeres (%)</c:v>
                </c:pt>
              </c:strCache>
            </c:strRef>
          </c:tx>
          <c:spPr>
            <a:ln w="12700" cap="flat">
              <a:solidFill>
                <a:srgbClr val="C00000"/>
              </a:solidFill>
              <a:miter lim="800000"/>
            </a:ln>
            <a:effectLst/>
          </c:spPr>
          <c:marker>
            <c:symbol val="circle"/>
            <c:size val="5"/>
            <c:spPr>
              <a:solidFill>
                <a:srgbClr val="C00000"/>
              </a:solidFill>
              <a:ln w="12700">
                <a:noFill/>
                <a:miter lim="800000"/>
              </a:ln>
              <a:effectLst/>
            </c:spPr>
          </c:marker>
          <c:cat>
            <c:numRef>
              <c:f>'4. RENTA, PROT, POBREZA Y VIV'!$J$19:$W$19</c:f>
              <c:numCache>
                <c:formatCode>General</c:formatCode>
                <c:ptCount val="6"/>
                <c:pt idx="0">
                  <c:v>2010</c:v>
                </c:pt>
                <c:pt idx="1">
                  <c:v>2015</c:v>
                </c:pt>
                <c:pt idx="2">
                  <c:v>2020</c:v>
                </c:pt>
                <c:pt idx="3">
                  <c:v>2021</c:v>
                </c:pt>
                <c:pt idx="4">
                  <c:v>2022</c:v>
                </c:pt>
                <c:pt idx="5">
                  <c:v>2023</c:v>
                </c:pt>
              </c:numCache>
            </c:numRef>
          </c:cat>
          <c:val>
            <c:numRef>
              <c:f>'4. RENTA, PROT, POBREZA Y VIV'!$J$22:$W$22</c:f>
              <c:numCache>
                <c:formatCode>0.0</c:formatCode>
                <c:ptCount val="6"/>
                <c:pt idx="0">
                  <c:v>27.9</c:v>
                </c:pt>
                <c:pt idx="1">
                  <c:v>27.58</c:v>
                </c:pt>
                <c:pt idx="2">
                  <c:v>18.97</c:v>
                </c:pt>
                <c:pt idx="3">
                  <c:v>23.22</c:v>
                </c:pt>
                <c:pt idx="4" formatCode="General">
                  <c:v>27.4</c:v>
                </c:pt>
                <c:pt idx="5" formatCode="General">
                  <c:v>20.3</c:v>
                </c:pt>
              </c:numCache>
            </c:numRef>
          </c:val>
          <c:smooth val="0"/>
          <c:extLst>
            <c:ext xmlns:c16="http://schemas.microsoft.com/office/drawing/2014/chart" uri="{C3380CC4-5D6E-409C-BE32-E72D297353CC}">
              <c16:uniqueId val="{00000015-6DF5-459A-809B-1EA3E6A56A86}"/>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15"/>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4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 4.5. Población con dificultad o mucha dificultad para llegar a final de mes (%)</a:t>
            </a:r>
          </a:p>
        </c:rich>
      </c:tx>
      <c:layout>
        <c:manualLayout>
          <c:xMode val="edge"/>
          <c:yMode val="edge"/>
          <c:x val="0.18525614103722113"/>
          <c:y val="3.297165512567863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3827374982118341"/>
          <c:y val="0.2161670132541979"/>
          <c:w val="0.73893885785413882"/>
          <c:h val="0.39984994715729505"/>
        </c:manualLayout>
      </c:layout>
      <c:barChart>
        <c:barDir val="col"/>
        <c:grouping val="clustered"/>
        <c:varyColors val="0"/>
        <c:ser>
          <c:idx val="2"/>
          <c:order val="2"/>
          <c:tx>
            <c:strRef>
              <c:f>'4. RENTA, PROT, POBREZA Y VIV'!$D$28</c:f>
              <c:strCache>
                <c:ptCount val="1"/>
                <c:pt idx="0">
                  <c:v>Brecha (punt.porc.)</c:v>
                </c:pt>
              </c:strCache>
            </c:strRef>
          </c:tx>
          <c:spPr>
            <a:solidFill>
              <a:schemeClr val="accent2">
                <a:tint val="65000"/>
              </a:schemeClr>
            </a:solidFill>
            <a:ln>
              <a:noFill/>
            </a:ln>
            <a:effectLst/>
          </c:spPr>
          <c:invertIfNegative val="0"/>
          <c:dPt>
            <c:idx val="0"/>
            <c:invertIfNegative val="0"/>
            <c:bubble3D val="0"/>
            <c:spPr>
              <a:solidFill>
                <a:srgbClr val="FF8989">
                  <a:alpha val="80000"/>
                </a:srgbClr>
              </a:solidFill>
              <a:ln>
                <a:noFill/>
              </a:ln>
              <a:effectLst/>
            </c:spPr>
            <c:extLst>
              <c:ext xmlns:c16="http://schemas.microsoft.com/office/drawing/2014/chart" uri="{C3380CC4-5D6E-409C-BE32-E72D297353CC}">
                <c16:uniqueId val="{00000001-C5C8-4E63-9FA3-C6AB4DD46217}"/>
              </c:ext>
            </c:extLst>
          </c:dPt>
          <c:dPt>
            <c:idx val="1"/>
            <c:invertIfNegative val="0"/>
            <c:bubble3D val="0"/>
            <c:spPr>
              <a:solidFill>
                <a:schemeClr val="accent3">
                  <a:alpha val="80000"/>
                </a:schemeClr>
              </a:solidFill>
              <a:ln>
                <a:noFill/>
              </a:ln>
              <a:effectLst/>
            </c:spPr>
            <c:extLst>
              <c:ext xmlns:c16="http://schemas.microsoft.com/office/drawing/2014/chart" uri="{C3380CC4-5D6E-409C-BE32-E72D297353CC}">
                <c16:uniqueId val="{00000003-C5C8-4E63-9FA3-C6AB4DD46217}"/>
              </c:ext>
            </c:extLst>
          </c:dPt>
          <c:dPt>
            <c:idx val="2"/>
            <c:invertIfNegative val="0"/>
            <c:bubble3D val="0"/>
            <c:spPr>
              <a:solidFill>
                <a:srgbClr val="FF8989">
                  <a:alpha val="80000"/>
                </a:srgbClr>
              </a:solidFill>
              <a:ln>
                <a:noFill/>
              </a:ln>
              <a:effectLst/>
            </c:spPr>
            <c:extLst>
              <c:ext xmlns:c16="http://schemas.microsoft.com/office/drawing/2014/chart" uri="{C3380CC4-5D6E-409C-BE32-E72D297353CC}">
                <c16:uniqueId val="{00000005-C5C8-4E63-9FA3-C6AB4DD46217}"/>
              </c:ext>
            </c:extLst>
          </c:dPt>
          <c:cat>
            <c:numRef>
              <c:f>'4. RENTA, PROT, POBREZA Y VIV'!$J$24:$W$24</c:f>
              <c:numCache>
                <c:formatCode>General</c:formatCode>
                <c:ptCount val="6"/>
                <c:pt idx="0">
                  <c:v>2010</c:v>
                </c:pt>
                <c:pt idx="1">
                  <c:v>2015</c:v>
                </c:pt>
                <c:pt idx="2">
                  <c:v>2020</c:v>
                </c:pt>
                <c:pt idx="3">
                  <c:v>2021</c:v>
                </c:pt>
                <c:pt idx="4">
                  <c:v>2022</c:v>
                </c:pt>
                <c:pt idx="5">
                  <c:v>2023</c:v>
                </c:pt>
              </c:numCache>
            </c:numRef>
          </c:cat>
          <c:val>
            <c:numRef>
              <c:f>'4. RENTA, PROT, POBREZA Y VIV'!$J$28:$W$28</c:f>
              <c:numCache>
                <c:formatCode>#,##0.0</c:formatCode>
                <c:ptCount val="6"/>
                <c:pt idx="0">
                  <c:v>5.7000000000000028</c:v>
                </c:pt>
                <c:pt idx="1">
                  <c:v>2.6000000000000014</c:v>
                </c:pt>
                <c:pt idx="2">
                  <c:v>-3.1999999999999993</c:v>
                </c:pt>
                <c:pt idx="3">
                  <c:v>-0.5</c:v>
                </c:pt>
                <c:pt idx="4">
                  <c:v>2.6000000000000014</c:v>
                </c:pt>
                <c:pt idx="5">
                  <c:v>0.5</c:v>
                </c:pt>
              </c:numCache>
            </c:numRef>
          </c:val>
          <c:extLst>
            <c:ext xmlns:c16="http://schemas.microsoft.com/office/drawing/2014/chart" uri="{C3380CC4-5D6E-409C-BE32-E72D297353CC}">
              <c16:uniqueId val="{0000000F-BF63-443E-B897-23AA0A41D272}"/>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'4. RENTA, PROT, POBREZA Y VIV'!$D$26</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12700">
                <a:noFill/>
                <a:miter lim="800000"/>
              </a:ln>
              <a:effectLst/>
            </c:spPr>
          </c:marker>
          <c:cat>
            <c:numRef>
              <c:f>'4. RENTA, PROT, POBREZA Y VIV'!$J$24:$W$24</c:f>
              <c:numCache>
                <c:formatCode>General</c:formatCode>
                <c:ptCount val="6"/>
                <c:pt idx="0">
                  <c:v>2010</c:v>
                </c:pt>
                <c:pt idx="1">
                  <c:v>2015</c:v>
                </c:pt>
                <c:pt idx="2">
                  <c:v>2020</c:v>
                </c:pt>
                <c:pt idx="3">
                  <c:v>2021</c:v>
                </c:pt>
                <c:pt idx="4">
                  <c:v>2022</c:v>
                </c:pt>
                <c:pt idx="5">
                  <c:v>2023</c:v>
                </c:pt>
              </c:numCache>
            </c:numRef>
          </c:cat>
          <c:val>
            <c:numRef>
              <c:f>'4. RENTA, PROT, POBREZA Y VIV'!$J$26:$W$26</c:f>
              <c:numCache>
                <c:formatCode>_-* #,##0.0_-;\-* #,##0.0_-;_-* "-"??_-;_-@_-</c:formatCode>
                <c:ptCount val="6"/>
                <c:pt idx="0">
                  <c:v>28.700000000000003</c:v>
                </c:pt>
                <c:pt idx="1">
                  <c:v>22.4</c:v>
                </c:pt>
                <c:pt idx="2">
                  <c:v>19.7</c:v>
                </c:pt>
                <c:pt idx="3">
                  <c:v>19</c:v>
                </c:pt>
                <c:pt idx="4" formatCode="General">
                  <c:v>16.7</c:v>
                </c:pt>
                <c:pt idx="5" formatCode="General">
                  <c:v>22.1</c:v>
                </c:pt>
              </c:numCache>
            </c:numRef>
          </c:val>
          <c:smooth val="0"/>
          <c:extLst>
            <c:ext xmlns:c16="http://schemas.microsoft.com/office/drawing/2014/chart" uri="{C3380CC4-5D6E-409C-BE32-E72D297353CC}">
              <c16:uniqueId val="{00000004-02D8-4D31-9C85-21A11FEDBC5B}"/>
            </c:ext>
          </c:extLst>
        </c:ser>
        <c:ser>
          <c:idx val="1"/>
          <c:order val="1"/>
          <c:tx>
            <c:strRef>
              <c:f>'4. RENTA, PROT, POBREZA Y VIV'!$D$27</c:f>
              <c:strCache>
                <c:ptCount val="1"/>
                <c:pt idx="0">
                  <c:v>Mujeres (%)</c:v>
                </c:pt>
              </c:strCache>
            </c:strRef>
          </c:tx>
          <c:spPr>
            <a:ln w="19050" cap="rnd">
              <a:solidFill>
                <a:srgbClr val="C00000"/>
              </a:solidFill>
              <a:round/>
            </a:ln>
            <a:effectLst/>
          </c:spPr>
          <c:marker>
            <c:symbol val="circle"/>
            <c:size val="5"/>
            <c:spPr>
              <a:solidFill>
                <a:srgbClr val="C00000"/>
              </a:solidFill>
              <a:ln w="9525">
                <a:solidFill>
                  <a:schemeClr val="accent2"/>
                </a:solidFill>
              </a:ln>
              <a:effectLst/>
            </c:spPr>
          </c:marker>
          <c:dPt>
            <c:idx val="1"/>
            <c:marker>
              <c:symbol val="circle"/>
              <c:size val="5"/>
              <c:spPr>
                <a:solidFill>
                  <a:srgbClr val="C00000"/>
                </a:solidFill>
                <a:ln w="9525">
                  <a:solidFill>
                    <a:srgbClr val="C00000"/>
                  </a:solidFill>
                </a:ln>
                <a:effectLst/>
              </c:spPr>
            </c:marker>
            <c:bubble3D val="0"/>
            <c:extLst>
              <c:ext xmlns:c16="http://schemas.microsoft.com/office/drawing/2014/chart" uri="{C3380CC4-5D6E-409C-BE32-E72D297353CC}">
                <c16:uniqueId val="{0000001B-BF63-443E-B897-23AA0A41D272}"/>
              </c:ext>
            </c:extLst>
          </c:dPt>
          <c:cat>
            <c:numRef>
              <c:f>'4. RENTA, PROT, POBREZA Y VIV'!$J$24:$W$24</c:f>
              <c:numCache>
                <c:formatCode>General</c:formatCode>
                <c:ptCount val="6"/>
                <c:pt idx="0">
                  <c:v>2010</c:v>
                </c:pt>
                <c:pt idx="1">
                  <c:v>2015</c:v>
                </c:pt>
                <c:pt idx="2">
                  <c:v>2020</c:v>
                </c:pt>
                <c:pt idx="3">
                  <c:v>2021</c:v>
                </c:pt>
                <c:pt idx="4">
                  <c:v>2022</c:v>
                </c:pt>
                <c:pt idx="5">
                  <c:v>2023</c:v>
                </c:pt>
              </c:numCache>
            </c:numRef>
          </c:cat>
          <c:val>
            <c:numRef>
              <c:f>'4. RENTA, PROT, POBREZA Y VIV'!$J$27:$W$27</c:f>
              <c:numCache>
                <c:formatCode>_-* #,##0.0_-;\-* #,##0.0_-;_-* "-"??_-;_-@_-</c:formatCode>
                <c:ptCount val="6"/>
                <c:pt idx="0">
                  <c:v>34.400000000000006</c:v>
                </c:pt>
                <c:pt idx="1">
                  <c:v>25</c:v>
                </c:pt>
                <c:pt idx="2">
                  <c:v>16.5</c:v>
                </c:pt>
                <c:pt idx="3">
                  <c:v>18.5</c:v>
                </c:pt>
                <c:pt idx="4" formatCode="General">
                  <c:v>19.3</c:v>
                </c:pt>
                <c:pt idx="5" formatCode="General">
                  <c:v>22.6</c:v>
                </c:pt>
              </c:numCache>
            </c:numRef>
          </c:val>
          <c:smooth val="0"/>
          <c:extLst>
            <c:ext xmlns:c16="http://schemas.microsoft.com/office/drawing/2014/chart" uri="{C3380CC4-5D6E-409C-BE32-E72D297353CC}">
              <c16:uniqueId val="{0000000E-BF63-443E-B897-23AA0A41D272}"/>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2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7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4.6. Tasa de riesgo de pobreza del total de hogares y de los hogares monoparentales/monomarentales</a:t>
            </a:r>
          </a:p>
        </c:rich>
      </c:tx>
      <c:layout>
        <c:manualLayout>
          <c:xMode val="edge"/>
          <c:yMode val="edge"/>
          <c:x val="0.16690558482385356"/>
          <c:y val="2.4898156297952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9292345242329415"/>
          <c:y val="0.22043705057754218"/>
          <c:w val="0.68221220832531171"/>
          <c:h val="0.35129098493404948"/>
        </c:manualLayout>
      </c:layout>
      <c:barChart>
        <c:barDir val="col"/>
        <c:grouping val="clustered"/>
        <c:varyColors val="0"/>
        <c:ser>
          <c:idx val="2"/>
          <c:order val="2"/>
          <c:tx>
            <c:strRef>
              <c:f>'4. RENTA, PROT, POBREZA Y VIV'!$D$32</c:f>
              <c:strCache>
                <c:ptCount val="1"/>
                <c:pt idx="0">
                  <c:v>Brecha (punt.porc.)</c:v>
                </c:pt>
              </c:strCache>
            </c:strRef>
          </c:tx>
          <c:spPr>
            <a:solidFill>
              <a:schemeClr val="accent2">
                <a:tint val="65000"/>
              </a:schemeClr>
            </a:solidFill>
            <a:ln>
              <a:noFill/>
            </a:ln>
            <a:effectLst/>
          </c:spPr>
          <c:invertIfNegative val="0"/>
          <c:cat>
            <c:numRef>
              <c:f>'4. RENTA, PROT, POBREZA Y VIV'!$J$29:$W$29</c:f>
              <c:numCache>
                <c:formatCode>General</c:formatCode>
                <c:ptCount val="6"/>
                <c:pt idx="0">
                  <c:v>2010</c:v>
                </c:pt>
                <c:pt idx="1">
                  <c:v>2015</c:v>
                </c:pt>
                <c:pt idx="2">
                  <c:v>2020</c:v>
                </c:pt>
                <c:pt idx="3">
                  <c:v>2021</c:v>
                </c:pt>
                <c:pt idx="4">
                  <c:v>2022</c:v>
                </c:pt>
                <c:pt idx="5">
                  <c:v>2023</c:v>
                </c:pt>
              </c:numCache>
            </c:numRef>
          </c:cat>
          <c:val>
            <c:numRef>
              <c:f>'4. RENTA, PROT, POBREZA Y VIV'!$J$32:$W$32</c:f>
              <c:numCache>
                <c:formatCode>0.0</c:formatCode>
                <c:ptCount val="6"/>
                <c:pt idx="0">
                  <c:v>32.339999999999996</c:v>
                </c:pt>
                <c:pt idx="1">
                  <c:v>21.099999999999998</c:v>
                </c:pt>
                <c:pt idx="2">
                  <c:v>13.110000000000003</c:v>
                </c:pt>
                <c:pt idx="3">
                  <c:v>9.1999999999999957</c:v>
                </c:pt>
                <c:pt idx="4">
                  <c:v>18.299999999999997</c:v>
                </c:pt>
                <c:pt idx="5">
                  <c:v>37.6</c:v>
                </c:pt>
              </c:numCache>
            </c:numRef>
          </c:val>
          <c:extLst>
            <c:ext xmlns:c16="http://schemas.microsoft.com/office/drawing/2014/chart" uri="{C3380CC4-5D6E-409C-BE32-E72D297353CC}">
              <c16:uniqueId val="{00000004-370D-4EF6-AC02-5C1DBF863280}"/>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'4. RENTA, PROT, POBREZA Y VIV'!$D$30</c:f>
              <c:strCache>
                <c:ptCount val="1"/>
                <c:pt idx="0">
                  <c:v>Total hogares (%)</c:v>
                </c:pt>
              </c:strCache>
            </c:strRef>
          </c:tx>
          <c:spPr>
            <a:ln w="19050" cap="rnd">
              <a:solidFill>
                <a:schemeClr val="tx1">
                  <a:lumMod val="50000"/>
                  <a:lumOff val="50000"/>
                  <a:alpha val="98000"/>
                </a:schemeClr>
              </a:solidFill>
              <a:round/>
            </a:ln>
            <a:effectLst/>
          </c:spPr>
          <c:marker>
            <c:symbol val="circle"/>
            <c:size val="5"/>
            <c:spPr>
              <a:solidFill>
                <a:schemeClr val="tx1">
                  <a:lumMod val="50000"/>
                  <a:lumOff val="50000"/>
                </a:schemeClr>
              </a:solidFill>
              <a:ln w="19050">
                <a:noFill/>
                <a:miter lim="800000"/>
              </a:ln>
              <a:effectLst/>
            </c:spPr>
          </c:marker>
          <c:cat>
            <c:numRef>
              <c:f>'4. RENTA, PROT, POBREZA Y VIV'!$J$29:$W$29</c:f>
              <c:numCache>
                <c:formatCode>General</c:formatCode>
                <c:ptCount val="6"/>
                <c:pt idx="0">
                  <c:v>2010</c:v>
                </c:pt>
                <c:pt idx="1">
                  <c:v>2015</c:v>
                </c:pt>
                <c:pt idx="2">
                  <c:v>2020</c:v>
                </c:pt>
                <c:pt idx="3">
                  <c:v>2021</c:v>
                </c:pt>
                <c:pt idx="4">
                  <c:v>2022</c:v>
                </c:pt>
                <c:pt idx="5">
                  <c:v>2023</c:v>
                </c:pt>
              </c:numCache>
            </c:numRef>
          </c:cat>
          <c:val>
            <c:numRef>
              <c:f>'4. RENTA, PROT, POBREZA Y VIV'!$J$30:$W$30</c:f>
              <c:numCache>
                <c:formatCode>0.0</c:formatCode>
                <c:ptCount val="6"/>
                <c:pt idx="0">
                  <c:v>25.46</c:v>
                </c:pt>
                <c:pt idx="1">
                  <c:v>25.8</c:v>
                </c:pt>
                <c:pt idx="2">
                  <c:v>19.989999999999998</c:v>
                </c:pt>
                <c:pt idx="3">
                  <c:v>23.1</c:v>
                </c:pt>
                <c:pt idx="4" formatCode="General">
                  <c:v>25.1</c:v>
                </c:pt>
                <c:pt idx="5" formatCode="_-* #,##0.0_-;\-* #,##0.0_-;_-* &quot;-&quot;??_-;_-@_-">
                  <c:v>19.100000000000001</c:v>
                </c:pt>
              </c:numCache>
            </c:numRef>
          </c:val>
          <c:smooth val="0"/>
          <c:extLst>
            <c:ext xmlns:c16="http://schemas.microsoft.com/office/drawing/2014/chart" uri="{C3380CC4-5D6E-409C-BE32-E72D297353CC}">
              <c16:uniqueId val="{00000004-17DA-4B0B-B78B-0BBE2198B680}"/>
            </c:ext>
          </c:extLst>
        </c:ser>
        <c:ser>
          <c:idx val="1"/>
          <c:order val="1"/>
          <c:tx>
            <c:strRef>
              <c:f>'4. RENTA, PROT, POBREZA Y VIV'!$D$31</c:f>
              <c:strCache>
                <c:ptCount val="1"/>
                <c:pt idx="0">
                  <c:v>Hogares monoparentales y monomarentales (%)</c:v>
                </c:pt>
              </c:strCache>
            </c:strRef>
          </c:tx>
          <c:spPr>
            <a:ln w="19050" cap="rnd">
              <a:solidFill>
                <a:srgbClr val="C00000"/>
              </a:solidFill>
              <a:round/>
            </a:ln>
            <a:effectLst/>
          </c:spPr>
          <c:marker>
            <c:symbol val="circle"/>
            <c:size val="5"/>
            <c:spPr>
              <a:solidFill>
                <a:srgbClr val="C00000"/>
              </a:solidFill>
              <a:ln w="19050">
                <a:noFill/>
                <a:miter lim="800000"/>
              </a:ln>
              <a:effectLst/>
            </c:spPr>
          </c:marker>
          <c:cat>
            <c:numRef>
              <c:f>'4. RENTA, PROT, POBREZA Y VIV'!$J$29:$W$29</c:f>
              <c:numCache>
                <c:formatCode>General</c:formatCode>
                <c:ptCount val="6"/>
                <c:pt idx="0">
                  <c:v>2010</c:v>
                </c:pt>
                <c:pt idx="1">
                  <c:v>2015</c:v>
                </c:pt>
                <c:pt idx="2">
                  <c:v>2020</c:v>
                </c:pt>
                <c:pt idx="3">
                  <c:v>2021</c:v>
                </c:pt>
                <c:pt idx="4">
                  <c:v>2022</c:v>
                </c:pt>
                <c:pt idx="5">
                  <c:v>2023</c:v>
                </c:pt>
              </c:numCache>
            </c:numRef>
          </c:cat>
          <c:val>
            <c:numRef>
              <c:f>'4. RENTA, PROT, POBREZA Y VIV'!$J$31:$W$31</c:f>
              <c:numCache>
                <c:formatCode>General</c:formatCode>
                <c:ptCount val="6"/>
                <c:pt idx="0">
                  <c:v>57.8</c:v>
                </c:pt>
                <c:pt idx="1">
                  <c:v>46.9</c:v>
                </c:pt>
                <c:pt idx="2">
                  <c:v>33.1</c:v>
                </c:pt>
                <c:pt idx="3">
                  <c:v>32.299999999999997</c:v>
                </c:pt>
                <c:pt idx="4">
                  <c:v>43.4</c:v>
                </c:pt>
                <c:pt idx="5">
                  <c:v>56.7</c:v>
                </c:pt>
              </c:numCache>
            </c:numRef>
          </c:val>
          <c:smooth val="0"/>
          <c:extLst>
            <c:ext xmlns:c16="http://schemas.microsoft.com/office/drawing/2014/chart" uri="{C3380CC4-5D6E-409C-BE32-E72D297353CC}">
              <c16:uniqueId val="{00000003-370D-4EF6-AC02-5C1DBF863280}"/>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9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4.7. Población parada que percibe prestación por desempleo (%)</a:t>
            </a:r>
          </a:p>
        </c:rich>
      </c:tx>
      <c:layout>
        <c:manualLayout>
          <c:xMode val="edge"/>
          <c:yMode val="edge"/>
          <c:x val="0.20679882586370443"/>
          <c:y val="2.07764533744516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8354208726967725"/>
          <c:y val="0.15844879013291496"/>
          <c:w val="0.79221783131693901"/>
          <c:h val="0.49816945788363726"/>
        </c:manualLayout>
      </c:layout>
      <c:barChart>
        <c:barDir val="col"/>
        <c:grouping val="clustered"/>
        <c:varyColors val="0"/>
        <c:ser>
          <c:idx val="2"/>
          <c:order val="2"/>
          <c:tx>
            <c:strRef>
              <c:f>'4. RENTA, PROT, POBREZA Y VIV'!$D$37</c:f>
              <c:strCache>
                <c:ptCount val="1"/>
                <c:pt idx="0">
                  <c:v>Brecha (punt.porc.)</c:v>
                </c:pt>
              </c:strCache>
            </c:strRef>
          </c:tx>
          <c:spPr>
            <a:solidFill>
              <a:srgbClr val="FF8989">
                <a:alpha val="80000"/>
              </a:srgbClr>
            </a:solidFill>
            <a:ln>
              <a:noFill/>
            </a:ln>
            <a:effectLst/>
          </c:spPr>
          <c:invertIfNegative val="0"/>
          <c:dLbls>
            <c:dLbl>
              <c:idx val="0"/>
              <c:layout>
                <c:manualLayout>
                  <c:x val="-4.0399717803792118E-17"/>
                  <c:y val="8.4029276764669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F0-465D-BF14-C8A4F9BC7D1D}"/>
                </c:ext>
              </c:extLst>
            </c:dLbl>
            <c:dLbl>
              <c:idx val="1"/>
              <c:layout>
                <c:manualLayout>
                  <c:x val="0"/>
                  <c:y val="1.68051937311335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F0-465D-BF14-C8A4F9BC7D1D}"/>
                </c:ext>
              </c:extLst>
            </c:dLbl>
            <c:dLbl>
              <c:idx val="2"/>
              <c:layout>
                <c:manualLayout>
                  <c:x val="2.2036464275333534E-3"/>
                  <c:y val="1.6805855352933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F0-465D-BF14-C8A4F9BC7D1D}"/>
                </c:ext>
              </c:extLst>
            </c:dLbl>
            <c:dLbl>
              <c:idx val="3"/>
              <c:layout>
                <c:manualLayout>
                  <c:x val="0"/>
                  <c:y val="1.6805855352933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F0-465D-BF14-C8A4F9BC7D1D}"/>
                </c:ext>
              </c:extLst>
            </c:dLbl>
            <c:dLbl>
              <c:idx val="4"/>
              <c:layout>
                <c:manualLayout>
                  <c:x val="0"/>
                  <c:y val="1.2604226109250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F0-465D-BF14-C8A4F9BC7D1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RENTA, PROT, POBREZA Y VIV'!$O$33:$X$33</c:f>
              <c:numCache>
                <c:formatCode>General</c:formatCode>
                <c:ptCount val="6"/>
                <c:pt idx="0">
                  <c:v>2015</c:v>
                </c:pt>
                <c:pt idx="1">
                  <c:v>2020</c:v>
                </c:pt>
                <c:pt idx="2">
                  <c:v>2021</c:v>
                </c:pt>
                <c:pt idx="3">
                  <c:v>2022</c:v>
                </c:pt>
                <c:pt idx="4">
                  <c:v>2023</c:v>
                </c:pt>
                <c:pt idx="5">
                  <c:v>2024</c:v>
                </c:pt>
              </c:numCache>
            </c:numRef>
          </c:cat>
          <c:val>
            <c:numRef>
              <c:f>'4. RENTA, PROT, POBREZA Y VIV'!$O$37:$X$37</c:f>
              <c:numCache>
                <c:formatCode>_-* #,##0.0_-;\-* #,##0.0_-;_-* "-"??_-;_-@_-</c:formatCode>
                <c:ptCount val="6"/>
                <c:pt idx="0">
                  <c:v>-5.5251565720777052</c:v>
                </c:pt>
                <c:pt idx="1">
                  <c:v>-5.8131448760139435</c:v>
                </c:pt>
                <c:pt idx="2">
                  <c:v>-6.4245089275166549</c:v>
                </c:pt>
                <c:pt idx="3">
                  <c:v>-7.6504089826902231</c:v>
                </c:pt>
                <c:pt idx="4">
                  <c:v>-7.8356514872375982</c:v>
                </c:pt>
                <c:pt idx="5">
                  <c:v>-7.0956571105475703</c:v>
                </c:pt>
              </c:numCache>
            </c:numRef>
          </c:val>
          <c:extLst>
            <c:ext xmlns:c16="http://schemas.microsoft.com/office/drawing/2014/chart" uri="{C3380CC4-5D6E-409C-BE32-E72D297353CC}">
              <c16:uniqueId val="{00000004-F088-4BE9-9E40-D7A903F953D8}"/>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'4. RENTA, PROT, POBREZA Y VIV'!$D$35</c:f>
              <c:strCache>
                <c:ptCount val="1"/>
                <c:pt idx="0">
                  <c:v>Hombres (%)</c:v>
                </c:pt>
              </c:strCache>
            </c:strRef>
          </c:tx>
          <c:spPr>
            <a:ln w="12700" cap="rnd">
              <a:solidFill>
                <a:schemeClr val="accent3">
                  <a:lumMod val="75000"/>
                </a:schemeClr>
              </a:solidFill>
              <a:round/>
            </a:ln>
            <a:effectLst/>
          </c:spPr>
          <c:marker>
            <c:symbol val="circle"/>
            <c:size val="5"/>
            <c:spPr>
              <a:solidFill>
                <a:schemeClr val="accent3">
                  <a:lumMod val="75000"/>
                </a:schemeClr>
              </a:solidFill>
              <a:ln w="12700">
                <a:noFill/>
                <a:miter lim="800000"/>
              </a:ln>
              <a:effectLst/>
            </c:spPr>
          </c:marker>
          <c:cat>
            <c:numRef>
              <c:f>'4. RENTA, PROT, POBREZA Y VIV'!$O$33:$X$33</c:f>
              <c:numCache>
                <c:formatCode>General</c:formatCode>
                <c:ptCount val="6"/>
                <c:pt idx="0">
                  <c:v>2015</c:v>
                </c:pt>
                <c:pt idx="1">
                  <c:v>2020</c:v>
                </c:pt>
                <c:pt idx="2">
                  <c:v>2021</c:v>
                </c:pt>
                <c:pt idx="3">
                  <c:v>2022</c:v>
                </c:pt>
                <c:pt idx="4">
                  <c:v>2023</c:v>
                </c:pt>
                <c:pt idx="5">
                  <c:v>2024</c:v>
                </c:pt>
              </c:numCache>
            </c:numRef>
          </c:cat>
          <c:val>
            <c:numRef>
              <c:f>'4. RENTA, PROT, POBREZA Y VIV'!$O$35:$X$35</c:f>
              <c:numCache>
                <c:formatCode>_-* #,##0.0_-;\-* #,##0.0_-;_-* "-"??_-;_-@_-</c:formatCode>
                <c:ptCount val="6"/>
                <c:pt idx="0">
                  <c:v>41.547979438834595</c:v>
                </c:pt>
                <c:pt idx="1">
                  <c:v>40.09971433768068</c:v>
                </c:pt>
                <c:pt idx="2">
                  <c:v>43.018793012175756</c:v>
                </c:pt>
                <c:pt idx="3" formatCode="0.0">
                  <c:v>48.879853966146698</c:v>
                </c:pt>
                <c:pt idx="4" formatCode="0.0">
                  <c:v>49.042171189979122</c:v>
                </c:pt>
                <c:pt idx="5" formatCode="0.0">
                  <c:v>49.936937403894333</c:v>
                </c:pt>
              </c:numCache>
            </c:numRef>
          </c:val>
          <c:smooth val="0"/>
          <c:extLst>
            <c:ext xmlns:c16="http://schemas.microsoft.com/office/drawing/2014/chart" uri="{C3380CC4-5D6E-409C-BE32-E72D297353CC}">
              <c16:uniqueId val="{00000004-66EA-4565-89AA-15F315092098}"/>
            </c:ext>
          </c:extLst>
        </c:ser>
        <c:ser>
          <c:idx val="1"/>
          <c:order val="1"/>
          <c:tx>
            <c:strRef>
              <c:f>'4. RENTA, PROT, POBREZA Y VIV'!$D$36</c:f>
              <c:strCache>
                <c:ptCount val="1"/>
                <c:pt idx="0">
                  <c:v>Mujeres (%)</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numRef>
              <c:f>'4. RENTA, PROT, POBREZA Y VIV'!$O$33:$X$33</c:f>
              <c:numCache>
                <c:formatCode>General</c:formatCode>
                <c:ptCount val="6"/>
                <c:pt idx="0">
                  <c:v>2015</c:v>
                </c:pt>
                <c:pt idx="1">
                  <c:v>2020</c:v>
                </c:pt>
                <c:pt idx="2">
                  <c:v>2021</c:v>
                </c:pt>
                <c:pt idx="3">
                  <c:v>2022</c:v>
                </c:pt>
                <c:pt idx="4">
                  <c:v>2023</c:v>
                </c:pt>
                <c:pt idx="5">
                  <c:v>2024</c:v>
                </c:pt>
              </c:numCache>
            </c:numRef>
          </c:cat>
          <c:val>
            <c:numRef>
              <c:f>'4. RENTA, PROT, POBREZA Y VIV'!$O$36:$X$36</c:f>
              <c:numCache>
                <c:formatCode>_-* #,##0.0_-;\-* #,##0.0_-;_-* "-"??_-;_-@_-</c:formatCode>
                <c:ptCount val="6"/>
                <c:pt idx="0">
                  <c:v>36.02282286675689</c:v>
                </c:pt>
                <c:pt idx="1">
                  <c:v>34.286569461666737</c:v>
                </c:pt>
                <c:pt idx="2">
                  <c:v>36.594284084659101</c:v>
                </c:pt>
                <c:pt idx="3" formatCode="0.0">
                  <c:v>41.229444983456474</c:v>
                </c:pt>
                <c:pt idx="4" formatCode="0.0">
                  <c:v>41.206519702741524</c:v>
                </c:pt>
                <c:pt idx="5" formatCode="0.0">
                  <c:v>42.841280293346763</c:v>
                </c:pt>
              </c:numCache>
            </c:numRef>
          </c:val>
          <c:smooth val="0"/>
          <c:extLst>
            <c:ext xmlns:c16="http://schemas.microsoft.com/office/drawing/2014/chart" uri="{C3380CC4-5D6E-409C-BE32-E72D297353CC}">
              <c16:uniqueId val="{00000003-F088-4BE9-9E40-D7A903F953D8}"/>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20"/>
        </c:scaling>
        <c:delete val="0"/>
        <c:axPos val="l"/>
        <c:majorGridlines>
          <c:spPr>
            <a:ln w="9525" cap="flat" cmpd="sng" algn="ctr">
              <a:no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4.9.</a:t>
            </a:r>
            <a:r>
              <a:rPr lang="it-IT" sz="1200" b="1" baseline="0"/>
              <a:t> </a:t>
            </a:r>
            <a:r>
              <a:rPr lang="it-IT" sz="1200" b="1"/>
              <a:t>Personas beneficiarias del Ingreso Mínimo Vital (N)</a:t>
            </a:r>
          </a:p>
        </c:rich>
      </c:tx>
      <c:layout>
        <c:manualLayout>
          <c:xMode val="edge"/>
          <c:yMode val="edge"/>
          <c:x val="0.2087079861111111"/>
          <c:y val="2.51958310859012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 RENTA, PROT, POBREZA Y VIV'!$D$51</c:f>
              <c:strCache>
                <c:ptCount val="1"/>
                <c:pt idx="0">
                  <c:v>Hombres (N)</c:v>
                </c:pt>
              </c:strCache>
            </c:strRef>
          </c:tx>
          <c:spPr>
            <a:solidFill>
              <a:schemeClr val="bg2">
                <a:lumMod val="50000"/>
              </a:schemeClr>
            </a:solidFill>
            <a:ln w="12700" cap="flat">
              <a:solidFill>
                <a:schemeClr val="bg2">
                  <a:lumMod val="50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RENTA, PROT, POBREZA Y VIV'!$X$49</c:f>
              <c:strCache>
                <c:ptCount val="1"/>
                <c:pt idx="0">
                  <c:v>2024 (enero)</c:v>
                </c:pt>
              </c:strCache>
            </c:strRef>
          </c:cat>
          <c:val>
            <c:numRef>
              <c:f>'4. RENTA, PROT, POBREZA Y VIV'!$X$51</c:f>
              <c:numCache>
                <c:formatCode>_-* #,##0_-;\-* #,##0_-;_-* "-"??_-;_-@_-</c:formatCode>
                <c:ptCount val="1"/>
                <c:pt idx="0">
                  <c:v>89318</c:v>
                </c:pt>
              </c:numCache>
            </c:numRef>
          </c:val>
          <c:extLst>
            <c:ext xmlns:c16="http://schemas.microsoft.com/office/drawing/2014/chart" uri="{C3380CC4-5D6E-409C-BE32-E72D297353CC}">
              <c16:uniqueId val="{00000001-B945-4A85-9D72-40A7EC502CE6}"/>
            </c:ext>
          </c:extLst>
        </c:ser>
        <c:ser>
          <c:idx val="1"/>
          <c:order val="1"/>
          <c:tx>
            <c:strRef>
              <c:f>'4. RENTA, PROT, POBREZA Y VIV'!$D$52</c:f>
              <c:strCache>
                <c:ptCount val="1"/>
                <c:pt idx="0">
                  <c:v>Mujeres (N)</c:v>
                </c:pt>
              </c:strCache>
            </c:strRef>
          </c:tx>
          <c:spPr>
            <a:solidFill>
              <a:srgbClr val="C00000"/>
            </a:solidFill>
            <a:ln w="12700" cap="flat">
              <a:solidFill>
                <a:srgbClr val="C00000"/>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RENTA, PROT, POBREZA Y VIV'!$X$49</c:f>
              <c:strCache>
                <c:ptCount val="1"/>
                <c:pt idx="0">
                  <c:v>2024 (enero)</c:v>
                </c:pt>
              </c:strCache>
            </c:strRef>
          </c:cat>
          <c:val>
            <c:numRef>
              <c:f>'4. RENTA, PROT, POBREZA Y VIV'!$X$52</c:f>
              <c:numCache>
                <c:formatCode>_-* #,##0_-;\-* #,##0_-;_-* "-"??_-;_-@_-</c:formatCode>
                <c:ptCount val="1"/>
                <c:pt idx="0">
                  <c:v>106814</c:v>
                </c:pt>
              </c:numCache>
            </c:numRef>
          </c:val>
          <c:extLst>
            <c:ext xmlns:c16="http://schemas.microsoft.com/office/drawing/2014/chart" uri="{C3380CC4-5D6E-409C-BE32-E72D297353CC}">
              <c16:uniqueId val="{00000002-B945-4A85-9D72-40A7EC502CE6}"/>
            </c:ext>
          </c:extLst>
        </c:ser>
        <c:ser>
          <c:idx val="2"/>
          <c:order val="2"/>
          <c:tx>
            <c:strRef>
              <c:f>'4. RENTA, PROT, POBREZA Y VIV'!$D$53</c:f>
              <c:strCache>
                <c:ptCount val="1"/>
                <c:pt idx="0">
                  <c:v>Brecha (N)</c:v>
                </c:pt>
              </c:strCache>
            </c:strRef>
          </c:tx>
          <c:spPr>
            <a:solidFill>
              <a:srgbClr val="FF8989">
                <a:alpha val="8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RENTA, PROT, POBREZA Y VIV'!$X$49</c:f>
              <c:strCache>
                <c:ptCount val="1"/>
                <c:pt idx="0">
                  <c:v>2024 (enero)</c:v>
                </c:pt>
              </c:strCache>
            </c:strRef>
          </c:cat>
          <c:val>
            <c:numRef>
              <c:f>'4. RENTA, PROT, POBREZA Y VIV'!$X$53</c:f>
              <c:numCache>
                <c:formatCode>_-* #,##0_-;\-* #,##0_-;_-* "-"??_-;_-@_-</c:formatCode>
                <c:ptCount val="1"/>
                <c:pt idx="0">
                  <c:v>17496</c:v>
                </c:pt>
              </c:numCache>
            </c:numRef>
          </c:val>
          <c:extLst>
            <c:ext xmlns:c16="http://schemas.microsoft.com/office/drawing/2014/chart" uri="{C3380CC4-5D6E-409C-BE32-E72D297353CC}">
              <c16:uniqueId val="{00000000-B945-4A85-9D72-40A7EC502CE6}"/>
            </c:ext>
          </c:extLst>
        </c:ser>
        <c:dLbls>
          <c:showLegendKey val="0"/>
          <c:showVal val="0"/>
          <c:showCatName val="0"/>
          <c:showSerName val="0"/>
          <c:showPercent val="0"/>
          <c:showBubbleSize val="0"/>
        </c:dLbls>
        <c:gapWidth val="403"/>
        <c:overlap val="-34"/>
        <c:axId val="1178732271"/>
        <c:axId val="1404224031"/>
      </c:bar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At val="0"/>
        <c:auto val="1"/>
        <c:lblAlgn val="ctr"/>
        <c:lblOffset val="100"/>
        <c:noMultiLvlLbl val="0"/>
      </c:catAx>
      <c:valAx>
        <c:axId val="1404224031"/>
        <c:scaling>
          <c:orientation val="minMax"/>
          <c:min val="0"/>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6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ysClr val="windowText" lastClr="000000"/>
                </a:solidFill>
                <a:latin typeface="+mn-lt"/>
                <a:ea typeface="+mn-ea"/>
                <a:cs typeface="+mn-cs"/>
              </a:defRPr>
            </a:pPr>
            <a:r>
              <a:rPr lang="es-ES" sz="1400" b="1" i="0" u="none" strike="noStrike" kern="1200" spc="0" baseline="0">
                <a:solidFill>
                  <a:sysClr val="windowText" lastClr="000000"/>
                </a:solidFill>
                <a:latin typeface="+mn-lt"/>
                <a:ea typeface="+mn-ea"/>
                <a:cs typeface="+mn-cs"/>
              </a:rPr>
              <a:t>1.3 Porcentaje de personas que perciben la desigualdad de oportunidades entre mujeres y hombres como alta y muy alta</a:t>
            </a:r>
          </a:p>
        </c:rich>
      </c:tx>
      <c:overlay val="0"/>
      <c:spPr>
        <a:solidFill>
          <a:sysClr val="window" lastClr="FFFFFF"/>
        </a:solidFill>
        <a:ln>
          <a:noFill/>
        </a:ln>
        <a:effectLst/>
      </c:spPr>
      <c:txPr>
        <a:bodyPr rot="0" spcFirstLastPara="1" vertOverflow="ellipsis" vert="horz" wrap="square" anchor="ctr" anchorCtr="1"/>
        <a:lstStyle/>
        <a:p>
          <a:pPr algn="ctr" rtl="0">
            <a:defRPr lang="es-ES" sz="1400" b="1" i="0" u="none" strike="noStrike" kern="1200" spc="0" baseline="0">
              <a:solidFill>
                <a:sysClr val="windowText" lastClr="000000"/>
              </a:solidFill>
              <a:latin typeface="+mn-lt"/>
              <a:ea typeface="+mn-ea"/>
              <a:cs typeface="+mn-cs"/>
            </a:defRPr>
          </a:pPr>
          <a:endParaRPr lang="es-ES"/>
        </a:p>
      </c:txPr>
    </c:title>
    <c:autoTitleDeleted val="0"/>
    <c:plotArea>
      <c:layout/>
      <c:barChart>
        <c:barDir val="col"/>
        <c:grouping val="clustered"/>
        <c:varyColors val="0"/>
        <c:ser>
          <c:idx val="3"/>
          <c:order val="3"/>
          <c:tx>
            <c:strRef>
              <c:f>'1.SITUACIÓN GLOBAL'!$C$14</c:f>
              <c:strCache>
                <c:ptCount val="1"/>
                <c:pt idx="0">
                  <c:v>Diferencia</c:v>
                </c:pt>
              </c:strCache>
            </c:strRef>
          </c:tx>
          <c:spPr>
            <a:solidFill>
              <a:srgbClr val="FF8989"/>
            </a:solidFill>
            <a:ln>
              <a:solidFill>
                <a:srgbClr val="FF5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extLst>
                <c:ext xmlns:c15="http://schemas.microsoft.com/office/drawing/2012/chart" uri="{02D57815-91ED-43cb-92C2-25804820EDAC}">
                  <c15:fullRef>
                    <c15:sqref>'1.SITUACIÓN GLOBAL'!$D$10:$Q$10</c15:sqref>
                  </c15:fullRef>
                </c:ext>
              </c:extLst>
              <c:f>('1.SITUACIÓN GLOBAL'!$N$10:$O$10,'1.SITUACIÓN GLOBAL'!$Q$10)</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'1.SITUACIÓN GLOBAL'!$D$14:$Q$14</c15:sqref>
                  </c15:fullRef>
                </c:ext>
              </c:extLst>
              <c:f>('1.SITUACIÓN GLOBAL'!$N$14:$O$14,'1.SITUACIÓN GLOBAL'!$Q$14)</c:f>
              <c:numCache>
                <c:formatCode>General</c:formatCode>
                <c:ptCount val="3"/>
                <c:pt idx="0" formatCode="_-* #,##0.0_-;\-* #,##0.0_-;_-* &quot;-&quot;??_-;_-@_-">
                  <c:v>11</c:v>
                </c:pt>
                <c:pt idx="1" formatCode="_-* #,##0.0_-;\-* #,##0.0_-;_-* &quot;-&quot;??_-;_-@_-">
                  <c:v>10.099999999999994</c:v>
                </c:pt>
                <c:pt idx="2" formatCode="_-* #,##0.0_-;\-* #,##0.0_-;_-* &quot;-&quot;??_-;_-@_-">
                  <c:v>7.9000000000000057</c:v>
                </c:pt>
              </c:numCache>
            </c:numRef>
          </c:val>
          <c:extLst>
            <c:ext xmlns:c15="http://schemas.microsoft.com/office/drawing/2012/chart" uri="{02D57815-91ED-43cb-92C2-25804820EDAC}">
              <c15:categoryFilterExceptions>
                <c15:categoryFilterException>
                  <c15:sqref>'1.SITUACIÓN GLOBAL'!$E$14</c15:sqref>
                  <c15:invertIfNegative val="0"/>
                  <c15:bubble3D val="0"/>
                </c15:categoryFilterException>
              </c15:categoryFilterExceptions>
            </c:ext>
            <c:ext xmlns:c16="http://schemas.microsoft.com/office/drawing/2014/chart" uri="{C3380CC4-5D6E-409C-BE32-E72D297353CC}">
              <c16:uniqueId val="{00000000-2A84-46E2-B78F-E2FF9593DC5C}"/>
            </c:ext>
          </c:extLst>
        </c:ser>
        <c:dLbls>
          <c:showLegendKey val="0"/>
          <c:showVal val="0"/>
          <c:showCatName val="0"/>
          <c:showSerName val="0"/>
          <c:showPercent val="0"/>
          <c:showBubbleSize val="0"/>
        </c:dLbls>
        <c:gapWidth val="219"/>
        <c:axId val="1140757711"/>
        <c:axId val="1429120783"/>
      </c:barChart>
      <c:lineChart>
        <c:grouping val="standard"/>
        <c:varyColors val="0"/>
        <c:ser>
          <c:idx val="2"/>
          <c:order val="2"/>
          <c:tx>
            <c:strRef>
              <c:f>'1.SITUACIÓN GLOBAL'!$C$13</c:f>
              <c:strCache>
                <c:ptCount val="1"/>
                <c:pt idx="0">
                  <c:v>Mujeres</c:v>
                </c:pt>
              </c:strCache>
            </c:strRef>
          </c:tx>
          <c:spPr>
            <a:ln w="19050" cap="flat" cmpd="sng" algn="ctr">
              <a:solidFill>
                <a:srgbClr val="C00000"/>
              </a:solidFill>
              <a:prstDash val="solid"/>
              <a:miter lim="800000"/>
            </a:ln>
            <a:effectLst/>
          </c:spPr>
          <c:marker>
            <c:symbol val="circle"/>
            <c:size val="5"/>
            <c:spPr>
              <a:solidFill>
                <a:srgbClr val="C00000"/>
              </a:solidFill>
              <a:ln w="28575" cap="flat" cmpd="sng" algn="ctr">
                <a:noFill/>
                <a:prstDash val="solid"/>
                <a:miter lim="800000"/>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extLst>
                <c:ext xmlns:c15="http://schemas.microsoft.com/office/drawing/2012/chart" uri="{02D57815-91ED-43cb-92C2-25804820EDAC}">
                  <c15:fullRef>
                    <c15:sqref>'1.SITUACIÓN GLOBAL'!$D$10:$Q$10</c15:sqref>
                  </c15:fullRef>
                </c:ext>
              </c:extLst>
              <c:f>('1.SITUACIÓN GLOBAL'!$N$10:$O$10,'1.SITUACIÓN GLOBAL'!$Q$10)</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'1.SITUACIÓN GLOBAL'!$D$13:$Q$13</c15:sqref>
                  </c15:fullRef>
                </c:ext>
              </c:extLst>
              <c:f>('1.SITUACIÓN GLOBAL'!$N$13:$O$13,'1.SITUACIÓN GLOBAL'!$Q$13)</c:f>
              <c:numCache>
                <c:formatCode>General</c:formatCode>
                <c:ptCount val="3"/>
                <c:pt idx="0" formatCode="_-* #,##0.0_-;\-* #,##0.0_-;_-* &quot;-&quot;??_-;_-@_-">
                  <c:v>73.3</c:v>
                </c:pt>
                <c:pt idx="1" formatCode="_-* #,##0.0_-;\-* #,##0.0_-;_-* &quot;-&quot;??_-;_-@_-">
                  <c:v>71.599999999999994</c:v>
                </c:pt>
                <c:pt idx="2" formatCode="_-* #,##0.0_-;\-* #,##0.0_-;_-* &quot;-&quot;??_-;_-@_-">
                  <c:v>73.2</c:v>
                </c:pt>
              </c:numCache>
            </c:numRef>
          </c:val>
          <c:smooth val="0"/>
          <c:extLst>
            <c:ext xmlns:c16="http://schemas.microsoft.com/office/drawing/2014/chart" uri="{C3380CC4-5D6E-409C-BE32-E72D297353CC}">
              <c16:uniqueId val="{00000001-2A84-46E2-B78F-E2FF9593DC5C}"/>
            </c:ext>
          </c:extLst>
        </c:ser>
        <c:ser>
          <c:idx val="1"/>
          <c:order val="1"/>
          <c:tx>
            <c:strRef>
              <c:f>'1.SITUACIÓN GLOBAL'!$C$12</c:f>
              <c:strCache>
                <c:ptCount val="1"/>
                <c:pt idx="0">
                  <c:v>Hombres</c:v>
                </c:pt>
              </c:strCache>
            </c:strRef>
          </c:tx>
          <c:spPr>
            <a:ln w="19050" cap="rnd">
              <a:solidFill>
                <a:schemeClr val="bg2">
                  <a:lumMod val="50000"/>
                </a:schemeClr>
              </a:solidFill>
              <a:round/>
            </a:ln>
            <a:effectLst/>
          </c:spPr>
          <c:marker>
            <c:symbol val="circle"/>
            <c:size val="6"/>
            <c:spPr>
              <a:solidFill>
                <a:schemeClr val="bg2">
                  <a:lumMod val="50000"/>
                </a:schemeClr>
              </a:solidFill>
              <a:ln w="28575">
                <a:no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extLst>
                <c:ext xmlns:c15="http://schemas.microsoft.com/office/drawing/2012/chart" uri="{02D57815-91ED-43cb-92C2-25804820EDAC}">
                  <c15:fullRef>
                    <c15:sqref>'1.SITUACIÓN GLOBAL'!$D$10:$Q$10</c15:sqref>
                  </c15:fullRef>
                </c:ext>
              </c:extLst>
              <c:f>('1.SITUACIÓN GLOBAL'!$N$10:$O$10,'1.SITUACIÓN GLOBAL'!$Q$10)</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'1.SITUACIÓN GLOBAL'!$D$12:$Q$12</c15:sqref>
                  </c15:fullRef>
                </c:ext>
              </c:extLst>
              <c:f>('1.SITUACIÓN GLOBAL'!$N$12:$O$12,'1.SITUACIÓN GLOBAL'!$Q$12)</c:f>
              <c:numCache>
                <c:formatCode>General</c:formatCode>
                <c:ptCount val="3"/>
                <c:pt idx="0" formatCode="_-* #,##0.0_-;\-* #,##0.0_-;_-* &quot;-&quot;??_-;_-@_-">
                  <c:v>62.3</c:v>
                </c:pt>
                <c:pt idx="1" formatCode="_-* #,##0.0_-;\-* #,##0.0_-;_-* &quot;-&quot;??_-;_-@_-">
                  <c:v>61.5</c:v>
                </c:pt>
                <c:pt idx="2" formatCode="_-* #,##0.0_-;\-* #,##0.0_-;_-* &quot;-&quot;??_-;_-@_-">
                  <c:v>65.3</c:v>
                </c:pt>
              </c:numCache>
            </c:numRef>
          </c:val>
          <c:smooth val="0"/>
          <c:extLst>
            <c:ext xmlns:c16="http://schemas.microsoft.com/office/drawing/2014/chart" uri="{C3380CC4-5D6E-409C-BE32-E72D297353CC}">
              <c16:uniqueId val="{00000002-2A84-46E2-B78F-E2FF9593DC5C}"/>
            </c:ext>
          </c:extLst>
        </c:ser>
        <c:dLbls>
          <c:showLegendKey val="0"/>
          <c:showVal val="0"/>
          <c:showCatName val="0"/>
          <c:showSerName val="0"/>
          <c:showPercent val="0"/>
          <c:showBubbleSize val="0"/>
        </c:dLbls>
        <c:marker val="1"/>
        <c:smooth val="0"/>
        <c:axId val="1140757711"/>
        <c:axId val="1429120783"/>
        <c:extLst>
          <c:ext xmlns:c15="http://schemas.microsoft.com/office/drawing/2012/chart" uri="{02D57815-91ED-43cb-92C2-25804820EDAC}">
            <c15:filteredLineSeries>
              <c15:ser>
                <c:idx val="0"/>
                <c:order val="0"/>
                <c:tx>
                  <c:strRef>
                    <c:extLst>
                      <c:ext uri="{02D57815-91ED-43cb-92C2-25804820EDAC}">
                        <c15:formulaRef>
                          <c15:sqref>'1.SITUACIÓN GLOBAL'!$C$11</c15:sqref>
                        </c15:formulaRef>
                      </c:ext>
                    </c:extLst>
                    <c:strCache>
                      <c:ptCount val="1"/>
                      <c:pt idx="0">
                        <c:v>Ambos sexos</c:v>
                      </c:pt>
                    </c:strCache>
                  </c:strRef>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uri="{CE6537A1-D6FC-4f65-9D91-7224C49458BB}">
                      <c15:showLeaderLines val="1"/>
                      <c15:leaderLines>
                        <c:spPr>
                          <a:ln w="9525">
                            <a:solidFill>
                              <a:schemeClr val="tx2">
                                <a:lumMod val="35000"/>
                                <a:lumOff val="65000"/>
                              </a:schemeClr>
                            </a:solidFill>
                          </a:ln>
                          <a:effectLst/>
                        </c:spPr>
                      </c15:leaderLines>
                    </c:ext>
                  </c:extLst>
                </c:dLbls>
                <c:cat>
                  <c:numRef>
                    <c:extLst>
                      <c:ext uri="{02D57815-91ED-43cb-92C2-25804820EDAC}">
                        <c15:fullRef>
                          <c15:sqref>'1.SITUACIÓN GLOBAL'!$D$10:$Q$10</c15:sqref>
                        </c15:fullRef>
                        <c15:formulaRef>
                          <c15:sqref>('1.SITUACIÓN GLOBAL'!$N$10:$O$10,'1.SITUACIÓN GLOBAL'!$Q$10)</c15:sqref>
                        </c15:formulaRef>
                      </c:ext>
                    </c:extLst>
                    <c:numCache>
                      <c:formatCode>General</c:formatCode>
                      <c:ptCount val="3"/>
                      <c:pt idx="0">
                        <c:v>2016</c:v>
                      </c:pt>
                      <c:pt idx="1">
                        <c:v>2017</c:v>
                      </c:pt>
                      <c:pt idx="2">
                        <c:v>2019</c:v>
                      </c:pt>
                    </c:numCache>
                  </c:numRef>
                </c:cat>
                <c:val>
                  <c:numRef>
                    <c:extLst>
                      <c:ext uri="{02D57815-91ED-43cb-92C2-25804820EDAC}">
                        <c15:fullRef>
                          <c15:sqref>'1.SITUACIÓN GLOBAL'!$D$11:$Q$11</c15:sqref>
                        </c15:fullRef>
                        <c15:formulaRef>
                          <c15:sqref>('1.SITUACIÓN GLOBAL'!$N$11:$O$11,'1.SITUACIÓN GLOBAL'!$Q$11)</c15:sqref>
                        </c15:formulaRef>
                      </c:ext>
                    </c:extLst>
                    <c:numCache>
                      <c:formatCode>General</c:formatCode>
                      <c:ptCount val="3"/>
                      <c:pt idx="0" formatCode="_-* #,##0.0_-;\-* #,##0.0_-;_-* &quot;-&quot;??_-;_-@_-">
                        <c:v>68.2</c:v>
                      </c:pt>
                      <c:pt idx="1" formatCode="_-* #,##0.0_-;\-* #,##0.0_-;_-* &quot;-&quot;??_-;_-@_-">
                        <c:v>67</c:v>
                      </c:pt>
                      <c:pt idx="2" formatCode="_-* #,##0.0_-;\-* #,##0.0_-;_-* &quot;-&quot;??_-;_-@_-">
                        <c:v>69.599999999999994</c:v>
                      </c:pt>
                    </c:numCache>
                  </c:numRef>
                </c:val>
                <c:smooth val="0"/>
                <c:extLst>
                  <c:ext xmlns:c16="http://schemas.microsoft.com/office/drawing/2014/chart" uri="{C3380CC4-5D6E-409C-BE32-E72D297353CC}">
                    <c16:uniqueId val="{00000003-2A84-46E2-B78F-E2FF9593DC5C}"/>
                  </c:ext>
                </c:extLst>
              </c15:ser>
            </c15:filteredLineSeries>
          </c:ext>
        </c:extLst>
      </c:lineChart>
      <c:catAx>
        <c:axId val="114075771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n-lt"/>
                <a:ea typeface="+mn-ea"/>
                <a:cs typeface="+mn-cs"/>
              </a:defRPr>
            </a:pPr>
            <a:endParaRPr lang="es-ES"/>
          </a:p>
        </c:txPr>
        <c:crossAx val="1429120783"/>
        <c:crosses val="autoZero"/>
        <c:auto val="1"/>
        <c:lblAlgn val="ctr"/>
        <c:lblOffset val="100"/>
        <c:noMultiLvlLbl val="0"/>
      </c:catAx>
      <c:valAx>
        <c:axId val="1429120783"/>
        <c:scaling>
          <c:orientation val="minMax"/>
        </c:scaling>
        <c:delete val="0"/>
        <c:axPos val="l"/>
        <c:majorGridlines>
          <c:spPr>
            <a:ln w="9525" cap="flat" cmpd="sng" algn="ctr">
              <a:solidFill>
                <a:schemeClr val="accent3">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140757711"/>
        <c:crosses val="autoZero"/>
        <c:crossBetween val="between"/>
      </c:valAx>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i="0" u="none" strike="noStrike" baseline="0">
                <a:effectLst/>
              </a:rPr>
              <a:t>4.11. Hogares con vivienda en propiedad según sexo de la persona de referencia del hogar (%)</a:t>
            </a:r>
            <a:endParaRPr lang="it-IT" sz="1200" b="1"/>
          </a:p>
        </c:rich>
      </c:tx>
      <c:layout>
        <c:manualLayout>
          <c:xMode val="edge"/>
          <c:yMode val="edge"/>
          <c:x val="0.15579128585863253"/>
          <c:y val="2.0776316852896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3810972995723093"/>
          <c:y val="0.26092208846210635"/>
          <c:w val="0.73911856381440588"/>
          <c:h val="0.39984994715729505"/>
        </c:manualLayout>
      </c:layout>
      <c:barChart>
        <c:barDir val="col"/>
        <c:grouping val="clustered"/>
        <c:varyColors val="0"/>
        <c:ser>
          <c:idx val="2"/>
          <c:order val="2"/>
          <c:tx>
            <c:strRef>
              <c:f>'4. RENTA, PROT, POBREZA Y VIV'!$D$65</c:f>
              <c:strCache>
                <c:ptCount val="1"/>
                <c:pt idx="0">
                  <c:v>Brecha (punt.porc.)</c:v>
                </c:pt>
              </c:strCache>
            </c:strRef>
          </c:tx>
          <c:spPr>
            <a:solidFill>
              <a:schemeClr val="accent2">
                <a:tint val="65000"/>
              </a:schemeClr>
            </a:solidFill>
            <a:ln>
              <a:noFill/>
            </a:ln>
            <a:effectLst/>
          </c:spPr>
          <c:invertIfNegative val="0"/>
          <c:dPt>
            <c:idx val="1"/>
            <c:invertIfNegative val="0"/>
            <c:bubble3D val="0"/>
            <c:spPr>
              <a:solidFill>
                <a:srgbClr val="FF8989">
                  <a:alpha val="80000"/>
                </a:srgbClr>
              </a:solidFill>
              <a:ln>
                <a:noFill/>
              </a:ln>
              <a:effectLst/>
            </c:spPr>
            <c:extLst>
              <c:ext xmlns:c16="http://schemas.microsoft.com/office/drawing/2014/chart" uri="{C3380CC4-5D6E-409C-BE32-E72D297353CC}">
                <c16:uniqueId val="{00000001-9DEC-4448-956F-E2B33BD5D1A4}"/>
              </c:ext>
            </c:extLst>
          </c:dPt>
          <c:dLbls>
            <c:dLbl>
              <c:idx val="0"/>
              <c:layout>
                <c:manualLayout>
                  <c:x val="-2.2048615741982903E-3"/>
                  <c:y val="1.8432714577513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EC-4448-956F-E2B33BD5D1A4}"/>
                </c:ext>
              </c:extLst>
            </c:dLbl>
            <c:dLbl>
              <c:idx val="2"/>
              <c:layout>
                <c:manualLayout>
                  <c:x val="0"/>
                  <c:y val="1.7919969144979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EC-4448-956F-E2B33BD5D1A4}"/>
                </c:ext>
              </c:extLst>
            </c:dLbl>
            <c:dLbl>
              <c:idx val="3"/>
              <c:layout>
                <c:manualLayout>
                  <c:x val="-2.2048615741982903E-3"/>
                  <c:y val="1.7919969144979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EC-4448-956F-E2B33BD5D1A4}"/>
                </c:ext>
              </c:extLst>
            </c:dLbl>
            <c:dLbl>
              <c:idx val="4"/>
              <c:layout>
                <c:manualLayout>
                  <c:x val="2.2048615741982903E-3"/>
                  <c:y val="1.7919969144979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EC-4448-956F-E2B33BD5D1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RENTA, PROT, POBREZA Y VIV'!$J$61:$W$61</c:f>
              <c:numCache>
                <c:formatCode>General</c:formatCode>
                <c:ptCount val="6"/>
                <c:pt idx="0">
                  <c:v>2010</c:v>
                </c:pt>
                <c:pt idx="1">
                  <c:v>2015</c:v>
                </c:pt>
                <c:pt idx="2">
                  <c:v>2020</c:v>
                </c:pt>
                <c:pt idx="3">
                  <c:v>2021</c:v>
                </c:pt>
                <c:pt idx="4">
                  <c:v>2022</c:v>
                </c:pt>
                <c:pt idx="5">
                  <c:v>2023</c:v>
                </c:pt>
              </c:numCache>
            </c:numRef>
          </c:cat>
          <c:val>
            <c:numRef>
              <c:f>'4. RENTA, PROT, POBREZA Y VIV'!$J$65:$W$65</c:f>
              <c:numCache>
                <c:formatCode>_-* #,##0.0_-;\-* #,##0.0_-;_-* "-"??_-;_-@_-</c:formatCode>
                <c:ptCount val="6"/>
                <c:pt idx="0">
                  <c:v>-4.5</c:v>
                </c:pt>
                <c:pt idx="1">
                  <c:v>5.3999999999999915</c:v>
                </c:pt>
                <c:pt idx="2">
                  <c:v>-1.7999999999999972</c:v>
                </c:pt>
                <c:pt idx="3">
                  <c:v>-1.7999999999999972</c:v>
                </c:pt>
                <c:pt idx="4">
                  <c:v>-1.5</c:v>
                </c:pt>
                <c:pt idx="5">
                  <c:v>2.9000000000000057</c:v>
                </c:pt>
              </c:numCache>
            </c:numRef>
          </c:val>
          <c:extLst>
            <c:ext xmlns:c16="http://schemas.microsoft.com/office/drawing/2014/chart" uri="{C3380CC4-5D6E-409C-BE32-E72D297353CC}">
              <c16:uniqueId val="{00000003-19EC-459A-8D25-602C25E418A8}"/>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'4. RENTA, PROT, POBREZA Y VIV'!$D$63</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9525">
                <a:solidFill>
                  <a:schemeClr val="bg2">
                    <a:lumMod val="50000"/>
                  </a:schemeClr>
                </a:solidFill>
                <a:miter lim="800000"/>
              </a:ln>
              <a:effectLst/>
            </c:spPr>
          </c:marker>
          <c:cat>
            <c:numRef>
              <c:f>'4. RENTA, PROT, POBREZA Y VIV'!$J$61:$W$61</c:f>
              <c:numCache>
                <c:formatCode>General</c:formatCode>
                <c:ptCount val="6"/>
                <c:pt idx="0">
                  <c:v>2010</c:v>
                </c:pt>
                <c:pt idx="1">
                  <c:v>2015</c:v>
                </c:pt>
                <c:pt idx="2">
                  <c:v>2020</c:v>
                </c:pt>
                <c:pt idx="3">
                  <c:v>2021</c:v>
                </c:pt>
                <c:pt idx="4">
                  <c:v>2022</c:v>
                </c:pt>
                <c:pt idx="5">
                  <c:v>2023</c:v>
                </c:pt>
              </c:numCache>
            </c:numRef>
          </c:cat>
          <c:val>
            <c:numRef>
              <c:f>'4. RENTA, PROT, POBREZA Y VIV'!$J$63:$W$63</c:f>
              <c:numCache>
                <c:formatCode>_-* #,##0.0_-;\-* #,##0.0_-;_-* "-"??_-;_-@_-</c:formatCode>
                <c:ptCount val="6"/>
                <c:pt idx="0">
                  <c:v>75.8</c:v>
                </c:pt>
                <c:pt idx="1">
                  <c:v>66.7</c:v>
                </c:pt>
                <c:pt idx="2">
                  <c:v>68.7</c:v>
                </c:pt>
                <c:pt idx="3">
                  <c:v>65.599999999999994</c:v>
                </c:pt>
                <c:pt idx="4" formatCode="General">
                  <c:v>68.599999999999994</c:v>
                </c:pt>
                <c:pt idx="5" formatCode="General">
                  <c:v>64.5</c:v>
                </c:pt>
              </c:numCache>
            </c:numRef>
          </c:val>
          <c:smooth val="0"/>
          <c:extLst>
            <c:ext xmlns:c16="http://schemas.microsoft.com/office/drawing/2014/chart" uri="{C3380CC4-5D6E-409C-BE32-E72D297353CC}">
              <c16:uniqueId val="{00000006-1657-4A07-B61C-AA7D373BA257}"/>
            </c:ext>
          </c:extLst>
        </c:ser>
        <c:ser>
          <c:idx val="1"/>
          <c:order val="1"/>
          <c:tx>
            <c:strRef>
              <c:f>'4. RENTA, PROT, POBREZA Y VIV'!$D$64</c:f>
              <c:strCache>
                <c:ptCount val="1"/>
                <c:pt idx="0">
                  <c:v>Mujeres (%)</c:v>
                </c:pt>
              </c:strCache>
            </c:strRef>
          </c:tx>
          <c:spPr>
            <a:ln w="19050" cap="rnd">
              <a:solidFill>
                <a:srgbClr val="C00000">
                  <a:alpha val="97000"/>
                </a:srgbClr>
              </a:solidFill>
              <a:round/>
            </a:ln>
            <a:effectLst/>
          </c:spPr>
          <c:marker>
            <c:symbol val="circle"/>
            <c:size val="5"/>
            <c:spPr>
              <a:solidFill>
                <a:srgbClr val="C00000"/>
              </a:solidFill>
              <a:ln w="9525">
                <a:solidFill>
                  <a:srgbClr val="C00000">
                    <a:alpha val="99000"/>
                  </a:srgbClr>
                </a:solidFill>
              </a:ln>
              <a:effectLst/>
            </c:spPr>
          </c:marker>
          <c:cat>
            <c:numRef>
              <c:f>'4. RENTA, PROT, POBREZA Y VIV'!$J$61:$W$61</c:f>
              <c:numCache>
                <c:formatCode>General</c:formatCode>
                <c:ptCount val="6"/>
                <c:pt idx="0">
                  <c:v>2010</c:v>
                </c:pt>
                <c:pt idx="1">
                  <c:v>2015</c:v>
                </c:pt>
                <c:pt idx="2">
                  <c:v>2020</c:v>
                </c:pt>
                <c:pt idx="3">
                  <c:v>2021</c:v>
                </c:pt>
                <c:pt idx="4">
                  <c:v>2022</c:v>
                </c:pt>
                <c:pt idx="5">
                  <c:v>2023</c:v>
                </c:pt>
              </c:numCache>
            </c:numRef>
          </c:cat>
          <c:val>
            <c:numRef>
              <c:f>'4. RENTA, PROT, POBREZA Y VIV'!$J$64:$W$64</c:f>
              <c:numCache>
                <c:formatCode>_-* #,##0.0_-;\-* #,##0.0_-;_-* "-"??_-;_-@_-</c:formatCode>
                <c:ptCount val="6"/>
                <c:pt idx="0">
                  <c:v>71.3</c:v>
                </c:pt>
                <c:pt idx="1">
                  <c:v>72.099999999999994</c:v>
                </c:pt>
                <c:pt idx="2">
                  <c:v>66.900000000000006</c:v>
                </c:pt>
                <c:pt idx="3">
                  <c:v>63.8</c:v>
                </c:pt>
                <c:pt idx="4" formatCode="General">
                  <c:v>67.099999999999994</c:v>
                </c:pt>
                <c:pt idx="5" formatCode="General">
                  <c:v>67.400000000000006</c:v>
                </c:pt>
              </c:numCache>
            </c:numRef>
          </c:val>
          <c:smooth val="0"/>
          <c:extLst>
            <c:ext xmlns:c16="http://schemas.microsoft.com/office/drawing/2014/chart" uri="{C3380CC4-5D6E-409C-BE32-E72D297353CC}">
              <c16:uniqueId val="{00000002-19EC-459A-8D25-602C25E418A8}"/>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2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6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 4.12. Población que no puede permitirse mantener la vivienda con una temperatura adecuada (%)</a:t>
            </a:r>
          </a:p>
        </c:rich>
      </c:tx>
      <c:layout>
        <c:manualLayout>
          <c:xMode val="edge"/>
          <c:yMode val="edge"/>
          <c:x val="0.15579128585863253"/>
          <c:y val="2.0776316852896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'4. RENTA, PROT, POBREZA Y VIV'!$D$70</c:f>
              <c:strCache>
                <c:ptCount val="1"/>
                <c:pt idx="0">
                  <c:v>Brecha (punt.porc.)</c:v>
                </c:pt>
              </c:strCache>
            </c:strRef>
          </c:tx>
          <c:spPr>
            <a:solidFill>
              <a:schemeClr val="accent2">
                <a:tint val="65000"/>
              </a:schemeClr>
            </a:solidFill>
            <a:ln>
              <a:noFill/>
            </a:ln>
            <a:effectLst/>
          </c:spPr>
          <c:invertIfNegative val="0"/>
          <c:dPt>
            <c:idx val="0"/>
            <c:invertIfNegative val="0"/>
            <c:bubble3D val="0"/>
            <c:spPr>
              <a:solidFill>
                <a:srgbClr val="FF8989"/>
              </a:solidFill>
              <a:ln>
                <a:noFill/>
              </a:ln>
              <a:effectLst/>
            </c:spPr>
            <c:extLst>
              <c:ext xmlns:c16="http://schemas.microsoft.com/office/drawing/2014/chart" uri="{C3380CC4-5D6E-409C-BE32-E72D297353CC}">
                <c16:uniqueId val="{00000001-81C9-4D10-AFE8-D35F263BB5C1}"/>
              </c:ext>
            </c:extLst>
          </c:dPt>
          <c:dPt>
            <c:idx val="1"/>
            <c:invertIfNegative val="0"/>
            <c:bubble3D val="0"/>
            <c:spPr>
              <a:solidFill>
                <a:srgbClr val="FF8989"/>
              </a:solidFill>
              <a:ln>
                <a:solidFill>
                  <a:schemeClr val="accent6"/>
                </a:solidFill>
              </a:ln>
              <a:effectLst/>
            </c:spPr>
            <c:extLst>
              <c:ext xmlns:c16="http://schemas.microsoft.com/office/drawing/2014/chart" uri="{C3380CC4-5D6E-409C-BE32-E72D297353CC}">
                <c16:uniqueId val="{00000003-81C9-4D10-AFE8-D35F263BB5C1}"/>
              </c:ext>
            </c:extLst>
          </c:dPt>
          <c:dPt>
            <c:idx val="2"/>
            <c:invertIfNegative val="0"/>
            <c:bubble3D val="0"/>
            <c:spPr>
              <a:solidFill>
                <a:schemeClr val="accent3"/>
              </a:solidFill>
              <a:ln>
                <a:solidFill>
                  <a:schemeClr val="accent6"/>
                </a:solidFill>
              </a:ln>
              <a:effectLst/>
            </c:spPr>
            <c:extLst>
              <c:ext xmlns:c16="http://schemas.microsoft.com/office/drawing/2014/chart" uri="{C3380CC4-5D6E-409C-BE32-E72D297353CC}">
                <c16:uniqueId val="{00000005-81C9-4D10-AFE8-D35F263BB5C1}"/>
              </c:ext>
            </c:extLst>
          </c:dPt>
          <c:dPt>
            <c:idx val="3"/>
            <c:invertIfNegative val="0"/>
            <c:bubble3D val="0"/>
            <c:spPr>
              <a:solidFill>
                <a:srgbClr val="FF8989"/>
              </a:solidFill>
              <a:ln>
                <a:noFill/>
              </a:ln>
              <a:effectLst/>
            </c:spPr>
            <c:extLst>
              <c:ext xmlns:c16="http://schemas.microsoft.com/office/drawing/2014/chart" uri="{C3380CC4-5D6E-409C-BE32-E72D297353CC}">
                <c16:uniqueId val="{00000007-81C9-4D10-AFE8-D35F263BB5C1}"/>
              </c:ext>
            </c:extLst>
          </c:dPt>
          <c:dPt>
            <c:idx val="4"/>
            <c:invertIfNegative val="0"/>
            <c:bubble3D val="0"/>
            <c:spPr>
              <a:solidFill>
                <a:schemeClr val="accent3"/>
              </a:solidFill>
              <a:ln>
                <a:solidFill>
                  <a:schemeClr val="accent6"/>
                </a:solidFill>
              </a:ln>
              <a:effectLst/>
            </c:spPr>
            <c:extLst>
              <c:ext xmlns:c16="http://schemas.microsoft.com/office/drawing/2014/chart" uri="{C3380CC4-5D6E-409C-BE32-E72D297353CC}">
                <c16:uniqueId val="{00000009-81C9-4D10-AFE8-D35F263BB5C1}"/>
              </c:ext>
            </c:extLst>
          </c:dPt>
          <c:dLbls>
            <c:dLbl>
              <c:idx val="0"/>
              <c:layout>
                <c:manualLayout>
                  <c:x val="0"/>
                  <c:y val="1.2311752973886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C9-4D10-AFE8-D35F263BB5C1}"/>
                </c:ext>
              </c:extLst>
            </c:dLbl>
            <c:dLbl>
              <c:idx val="1"/>
              <c:layout>
                <c:manualLayout>
                  <c:x val="0"/>
                  <c:y val="8.37620366706239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C9-4D10-AFE8-D35F263BB5C1}"/>
                </c:ext>
              </c:extLst>
            </c:dLbl>
            <c:dLbl>
              <c:idx val="2"/>
              <c:layout>
                <c:manualLayout>
                  <c:x val="-1.3150035542620881E-4"/>
                  <c:y val="-4.06347890714449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C9-4D10-AFE8-D35F263BB5C1}"/>
                </c:ext>
              </c:extLst>
            </c:dLbl>
            <c:dLbl>
              <c:idx val="3"/>
              <c:layout>
                <c:manualLayout>
                  <c:x val="0"/>
                  <c:y val="1.6415670631848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C9-4D10-AFE8-D35F263BB5C1}"/>
                </c:ext>
              </c:extLst>
            </c:dLbl>
            <c:dLbl>
              <c:idx val="4"/>
              <c:layout>
                <c:manualLayout>
                  <c:x val="0"/>
                  <c:y val="1.2901812315889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C9-4D10-AFE8-D35F263BB5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RENTA, PROT, POBREZA Y VIV'!$J$66:$W$66</c:f>
              <c:numCache>
                <c:formatCode>General</c:formatCode>
                <c:ptCount val="6"/>
                <c:pt idx="0">
                  <c:v>2010</c:v>
                </c:pt>
                <c:pt idx="1">
                  <c:v>2015</c:v>
                </c:pt>
                <c:pt idx="2">
                  <c:v>2020</c:v>
                </c:pt>
                <c:pt idx="3">
                  <c:v>2021</c:v>
                </c:pt>
                <c:pt idx="4">
                  <c:v>2022</c:v>
                </c:pt>
                <c:pt idx="5">
                  <c:v>2023</c:v>
                </c:pt>
              </c:numCache>
            </c:numRef>
          </c:cat>
          <c:val>
            <c:numRef>
              <c:f>'4. RENTA, PROT, POBREZA Y VIV'!$J$70:$W$70</c:f>
              <c:numCache>
                <c:formatCode>#,##0.0</c:formatCode>
                <c:ptCount val="6"/>
                <c:pt idx="0">
                  <c:v>0.39999999999999947</c:v>
                </c:pt>
                <c:pt idx="1">
                  <c:v>-0.30000000000000071</c:v>
                </c:pt>
                <c:pt idx="2">
                  <c:v>-1.3000000000000007</c:v>
                </c:pt>
                <c:pt idx="3">
                  <c:v>1.3000000000000007</c:v>
                </c:pt>
                <c:pt idx="4">
                  <c:v>-0.80000000000000071</c:v>
                </c:pt>
                <c:pt idx="5">
                  <c:v>2</c:v>
                </c:pt>
              </c:numCache>
            </c:numRef>
          </c:val>
          <c:extLst>
            <c:ext xmlns:c16="http://schemas.microsoft.com/office/drawing/2014/chart" uri="{C3380CC4-5D6E-409C-BE32-E72D297353CC}">
              <c16:uniqueId val="{0000000B-1E44-41C1-A13F-3EE1D5BD296D}"/>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0"/>
          <c:order val="0"/>
          <c:tx>
            <c:strRef>
              <c:f>'4. RENTA, PROT, POBREZA Y VIV'!$D$68</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12700">
                <a:noFill/>
                <a:miter lim="800000"/>
              </a:ln>
              <a:effectLst/>
            </c:spPr>
          </c:marker>
          <c:cat>
            <c:numRef>
              <c:f>'4. RENTA, PROT, POBREZA Y VIV'!$J$66:$W$66</c:f>
              <c:numCache>
                <c:formatCode>General</c:formatCode>
                <c:ptCount val="6"/>
                <c:pt idx="0">
                  <c:v>2010</c:v>
                </c:pt>
                <c:pt idx="1">
                  <c:v>2015</c:v>
                </c:pt>
                <c:pt idx="2">
                  <c:v>2020</c:v>
                </c:pt>
                <c:pt idx="3">
                  <c:v>2021</c:v>
                </c:pt>
                <c:pt idx="4">
                  <c:v>2022</c:v>
                </c:pt>
                <c:pt idx="5">
                  <c:v>2023</c:v>
                </c:pt>
              </c:numCache>
            </c:numRef>
          </c:cat>
          <c:val>
            <c:numRef>
              <c:f>'4. RENTA, PROT, POBREZA Y VIV'!$J$68:$W$68</c:f>
              <c:numCache>
                <c:formatCode>_-* #,##0.0_-;\-* #,##0.0_-;_-* "-"??_-;_-@_-</c:formatCode>
                <c:ptCount val="6"/>
                <c:pt idx="0">
                  <c:v>6.2</c:v>
                </c:pt>
                <c:pt idx="1">
                  <c:v>10.8</c:v>
                </c:pt>
                <c:pt idx="2">
                  <c:v>11.5</c:v>
                </c:pt>
                <c:pt idx="3">
                  <c:v>9</c:v>
                </c:pt>
                <c:pt idx="4" formatCode="General">
                  <c:v>14.9</c:v>
                </c:pt>
                <c:pt idx="5" formatCode="General">
                  <c:v>18.399999999999999</c:v>
                </c:pt>
              </c:numCache>
            </c:numRef>
          </c:val>
          <c:smooth val="0"/>
          <c:extLst>
            <c:ext xmlns:c16="http://schemas.microsoft.com/office/drawing/2014/chart" uri="{C3380CC4-5D6E-409C-BE32-E72D297353CC}">
              <c16:uniqueId val="{00000006-0B45-4238-8C73-EEA816803B6B}"/>
            </c:ext>
          </c:extLst>
        </c:ser>
        <c:ser>
          <c:idx val="1"/>
          <c:order val="1"/>
          <c:tx>
            <c:strRef>
              <c:f>'4. RENTA, PROT, POBREZA Y VIV'!$D$69</c:f>
              <c:strCache>
                <c:ptCount val="1"/>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f>'4. RENTA, PROT, POBREZA Y VIV'!$J$66:$W$66</c:f>
              <c:numCache>
                <c:formatCode>General</c:formatCode>
                <c:ptCount val="6"/>
                <c:pt idx="0">
                  <c:v>2010</c:v>
                </c:pt>
                <c:pt idx="1">
                  <c:v>2015</c:v>
                </c:pt>
                <c:pt idx="2">
                  <c:v>2020</c:v>
                </c:pt>
                <c:pt idx="3">
                  <c:v>2021</c:v>
                </c:pt>
                <c:pt idx="4">
                  <c:v>2022</c:v>
                </c:pt>
                <c:pt idx="5">
                  <c:v>2023</c:v>
                </c:pt>
              </c:numCache>
            </c:numRef>
          </c:cat>
          <c:val>
            <c:numRef>
              <c:f>'4. RENTA, PROT, POBREZA Y VIV'!$J$69:$W$69</c:f>
              <c:numCache>
                <c:formatCode>_-* #,##0.0_-;\-* #,##0.0_-;_-* "-"??_-;_-@_-</c:formatCode>
                <c:ptCount val="6"/>
                <c:pt idx="0">
                  <c:v>6.6</c:v>
                </c:pt>
                <c:pt idx="1">
                  <c:v>10.5</c:v>
                </c:pt>
                <c:pt idx="2">
                  <c:v>10.199999999999999</c:v>
                </c:pt>
                <c:pt idx="3">
                  <c:v>10.3</c:v>
                </c:pt>
                <c:pt idx="4" formatCode="General">
                  <c:v>14.1</c:v>
                </c:pt>
                <c:pt idx="5" formatCode="General">
                  <c:v>20.399999999999999</c:v>
                </c:pt>
              </c:numCache>
            </c:numRef>
          </c:val>
          <c:smooth val="0"/>
          <c:extLst>
            <c:ext xmlns:c16="http://schemas.microsoft.com/office/drawing/2014/chart" uri="{C3380CC4-5D6E-409C-BE32-E72D297353CC}">
              <c16:uniqueId val="{0000000A-1E44-41C1-A13F-3EE1D5BD296D}"/>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solidFill>
            <a:schemeClr val="accent3"/>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1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5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b="1"/>
              <a:t>  4.13.</a:t>
            </a:r>
            <a:r>
              <a:rPr lang="it-IT" sz="1200" b="1" baseline="0"/>
              <a:t> </a:t>
            </a:r>
            <a:r>
              <a:rPr lang="it-IT" sz="1200" b="1"/>
              <a:t>Población que ha tenido retrasos en pago de gastos relacionados con la vivienda en los últimos 12 meses (%)</a:t>
            </a:r>
          </a:p>
        </c:rich>
      </c:tx>
      <c:layout>
        <c:manualLayout>
          <c:xMode val="edge"/>
          <c:yMode val="edge"/>
          <c:x val="0.1443859105839532"/>
          <c:y val="3.589367118676382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'4. RENTA, PROT, POBREZA Y VIV'!$D$75</c:f>
              <c:strCache>
                <c:ptCount val="1"/>
                <c:pt idx="0">
                  <c:v>Brecha (punt.porc.)</c:v>
                </c:pt>
              </c:strCache>
            </c:strRef>
          </c:tx>
          <c:spPr>
            <a:solidFill>
              <a:schemeClr val="accent2">
                <a:tint val="65000"/>
              </a:schemeClr>
            </a:solidFill>
            <a:ln>
              <a:noFill/>
            </a:ln>
            <a:effectLst/>
          </c:spPr>
          <c:invertIfNegative val="0"/>
          <c:dPt>
            <c:idx val="0"/>
            <c:invertIfNegative val="0"/>
            <c:bubble3D val="0"/>
            <c:spPr>
              <a:solidFill>
                <a:srgbClr val="FF8989">
                  <a:alpha val="80000"/>
                </a:srgbClr>
              </a:solidFill>
              <a:ln>
                <a:noFill/>
              </a:ln>
              <a:effectLst/>
            </c:spPr>
            <c:extLst>
              <c:ext xmlns:c16="http://schemas.microsoft.com/office/drawing/2014/chart" uri="{C3380CC4-5D6E-409C-BE32-E72D297353CC}">
                <c16:uniqueId val="{00000001-65E2-4C6B-AD09-0FF71795FE22}"/>
              </c:ext>
            </c:extLst>
          </c:dPt>
          <c:dPt>
            <c:idx val="2"/>
            <c:invertIfNegative val="0"/>
            <c:bubble3D val="0"/>
            <c:spPr>
              <a:solidFill>
                <a:schemeClr val="accent3">
                  <a:alpha val="80000"/>
                </a:schemeClr>
              </a:solidFill>
              <a:ln>
                <a:noFill/>
              </a:ln>
              <a:effectLst/>
            </c:spPr>
            <c:extLst>
              <c:ext xmlns:c16="http://schemas.microsoft.com/office/drawing/2014/chart" uri="{C3380CC4-5D6E-409C-BE32-E72D297353CC}">
                <c16:uniqueId val="{00000003-65E2-4C6B-AD09-0FF71795FE22}"/>
              </c:ext>
            </c:extLst>
          </c:dPt>
          <c:dPt>
            <c:idx val="3"/>
            <c:invertIfNegative val="0"/>
            <c:bubble3D val="0"/>
            <c:spPr>
              <a:solidFill>
                <a:srgbClr val="FF8989">
                  <a:alpha val="80000"/>
                </a:srgbClr>
              </a:solidFill>
              <a:ln>
                <a:noFill/>
              </a:ln>
              <a:effectLst/>
            </c:spPr>
            <c:extLst>
              <c:ext xmlns:c16="http://schemas.microsoft.com/office/drawing/2014/chart" uri="{C3380CC4-5D6E-409C-BE32-E72D297353CC}">
                <c16:uniqueId val="{00000005-65E2-4C6B-AD09-0FF71795FE22}"/>
              </c:ext>
            </c:extLst>
          </c:dPt>
          <c:dPt>
            <c:idx val="4"/>
            <c:invertIfNegative val="0"/>
            <c:bubble3D val="0"/>
            <c:spPr>
              <a:solidFill>
                <a:srgbClr val="FF8989">
                  <a:alpha val="80000"/>
                </a:srgbClr>
              </a:solidFill>
              <a:ln>
                <a:noFill/>
              </a:ln>
              <a:effectLst/>
            </c:spPr>
            <c:extLst>
              <c:ext xmlns:c16="http://schemas.microsoft.com/office/drawing/2014/chart" uri="{C3380CC4-5D6E-409C-BE32-E72D297353CC}">
                <c16:uniqueId val="{00000007-65E2-4C6B-AD09-0FF71795FE22}"/>
              </c:ext>
            </c:extLst>
          </c:dPt>
          <c:dLbls>
            <c:dLbl>
              <c:idx val="0"/>
              <c:layout>
                <c:manualLayout>
                  <c:x val="2.2036464275333937E-3"/>
                  <c:y val="1.5554407822979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E2-4C6B-AD09-0FF71795FE22}"/>
                </c:ext>
              </c:extLst>
            </c:dLbl>
            <c:dLbl>
              <c:idx val="1"/>
              <c:layout>
                <c:manualLayout>
                  <c:x val="0"/>
                  <c:y val="1.71904674465336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E2-4C6B-AD09-0FF71795FE22}"/>
                </c:ext>
              </c:extLst>
            </c:dLbl>
            <c:dLbl>
              <c:idx val="2"/>
              <c:layout>
                <c:manualLayout>
                  <c:x val="-8.0799435607584236E-17"/>
                  <c:y val="1.6691506569867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E2-4C6B-AD09-0FF71795FE22}"/>
                </c:ext>
              </c:extLst>
            </c:dLbl>
            <c:dLbl>
              <c:idx val="3"/>
              <c:layout>
                <c:manualLayout>
                  <c:x val="-1.6159887121516847E-16"/>
                  <c:y val="1.3070309362231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E2-4C6B-AD09-0FF71795FE22}"/>
                </c:ext>
              </c:extLst>
            </c:dLbl>
            <c:dLbl>
              <c:idx val="4"/>
              <c:layout>
                <c:manualLayout>
                  <c:x val="-1.6159887121516847E-16"/>
                  <c:y val="1.12240243498099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E2-4C6B-AD09-0FF71795FE2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RENTA, PROT, POBREZA Y VIV'!$J$71:$W$71</c:f>
              <c:numCache>
                <c:formatCode>General</c:formatCode>
                <c:ptCount val="6"/>
                <c:pt idx="0">
                  <c:v>2010</c:v>
                </c:pt>
                <c:pt idx="1">
                  <c:v>2015</c:v>
                </c:pt>
                <c:pt idx="2">
                  <c:v>2020</c:v>
                </c:pt>
                <c:pt idx="3">
                  <c:v>2021</c:v>
                </c:pt>
                <c:pt idx="4">
                  <c:v>2022</c:v>
                </c:pt>
                <c:pt idx="5">
                  <c:v>2023</c:v>
                </c:pt>
              </c:numCache>
            </c:numRef>
          </c:cat>
          <c:val>
            <c:numRef>
              <c:f>'4. RENTA, PROT, POBREZA Y VIV'!$J$75:$W$75</c:f>
              <c:numCache>
                <c:formatCode>#,##0.0</c:formatCode>
                <c:ptCount val="6"/>
                <c:pt idx="0">
                  <c:v>2.7000000000000011</c:v>
                </c:pt>
                <c:pt idx="1">
                  <c:v>0.59999999999999964</c:v>
                </c:pt>
                <c:pt idx="2">
                  <c:v>-2.5</c:v>
                </c:pt>
                <c:pt idx="3">
                  <c:v>-0.59999999999999964</c:v>
                </c:pt>
                <c:pt idx="4">
                  <c:v>-0.19999999999999929</c:v>
                </c:pt>
                <c:pt idx="5">
                  <c:v>-0.40000000000000036</c:v>
                </c:pt>
              </c:numCache>
            </c:numRef>
          </c:val>
          <c:extLst>
            <c:ext xmlns:c16="http://schemas.microsoft.com/office/drawing/2014/chart" uri="{C3380CC4-5D6E-409C-BE32-E72D297353CC}">
              <c16:uniqueId val="{00000009-6CFD-4E47-B35B-8AEF8792788D}"/>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0"/>
          <c:order val="0"/>
          <c:tx>
            <c:strRef>
              <c:f>'4. RENTA, PROT, POBREZA Y VIV'!$D$73</c:f>
              <c:strCache>
                <c:ptCount val="1"/>
                <c:pt idx="0">
                  <c:v>Hombres (%)</c:v>
                </c:pt>
              </c:strCache>
            </c:strRef>
          </c:tx>
          <c:spPr>
            <a:ln w="19050" cap="rnd">
              <a:solidFill>
                <a:schemeClr val="tx1">
                  <a:lumMod val="50000"/>
                  <a:lumOff val="50000"/>
                </a:schemeClr>
              </a:solidFill>
              <a:round/>
            </a:ln>
            <a:effectLst/>
          </c:spPr>
          <c:marker>
            <c:symbol val="circle"/>
            <c:size val="5"/>
            <c:spPr>
              <a:solidFill>
                <a:schemeClr val="tx1">
                  <a:lumMod val="50000"/>
                  <a:lumOff val="50000"/>
                </a:schemeClr>
              </a:solidFill>
              <a:ln w="12700">
                <a:noFill/>
                <a:miter lim="800000"/>
              </a:ln>
              <a:effectLst/>
            </c:spPr>
          </c:marker>
          <c:cat>
            <c:numRef>
              <c:f>'4. RENTA, PROT, POBREZA Y VIV'!$J$71:$W$71</c:f>
              <c:numCache>
                <c:formatCode>General</c:formatCode>
                <c:ptCount val="6"/>
                <c:pt idx="0">
                  <c:v>2010</c:v>
                </c:pt>
                <c:pt idx="1">
                  <c:v>2015</c:v>
                </c:pt>
                <c:pt idx="2">
                  <c:v>2020</c:v>
                </c:pt>
                <c:pt idx="3">
                  <c:v>2021</c:v>
                </c:pt>
                <c:pt idx="4">
                  <c:v>2022</c:v>
                </c:pt>
                <c:pt idx="5">
                  <c:v>2023</c:v>
                </c:pt>
              </c:numCache>
            </c:numRef>
          </c:cat>
          <c:val>
            <c:numRef>
              <c:f>'4. RENTA, PROT, POBREZA Y VIV'!$J$73:$W$73</c:f>
              <c:numCache>
                <c:formatCode>_-* #,##0.0_-;\-* #,##0.0_-;_-* "-"??_-;_-@_-</c:formatCode>
                <c:ptCount val="6"/>
                <c:pt idx="0">
                  <c:v>12.1</c:v>
                </c:pt>
                <c:pt idx="1">
                  <c:v>9.4</c:v>
                </c:pt>
                <c:pt idx="2">
                  <c:v>11</c:v>
                </c:pt>
                <c:pt idx="3">
                  <c:v>13.1</c:v>
                </c:pt>
                <c:pt idx="4" formatCode="General">
                  <c:v>10.199999999999999</c:v>
                </c:pt>
                <c:pt idx="5" formatCode="General">
                  <c:v>14.3</c:v>
                </c:pt>
              </c:numCache>
            </c:numRef>
          </c:val>
          <c:smooth val="0"/>
          <c:extLst>
            <c:ext xmlns:c16="http://schemas.microsoft.com/office/drawing/2014/chart" uri="{C3380CC4-5D6E-409C-BE32-E72D297353CC}">
              <c16:uniqueId val="{00000006-53D0-4216-9B90-78A111FA9813}"/>
            </c:ext>
          </c:extLst>
        </c:ser>
        <c:ser>
          <c:idx val="1"/>
          <c:order val="1"/>
          <c:tx>
            <c:strRef>
              <c:f>'4. RENTA, PROT, POBREZA Y VIV'!$D$74</c:f>
              <c:strCache>
                <c:ptCount val="1"/>
                <c:pt idx="0">
                  <c:v>Mujeres (%)</c:v>
                </c:pt>
              </c:strCache>
            </c:strRef>
          </c:tx>
          <c:spPr>
            <a:ln w="19050" cap="rnd">
              <a:solidFill>
                <a:srgbClr val="C00000">
                  <a:alpha val="93000"/>
                </a:srgbClr>
              </a:solidFill>
              <a:round/>
            </a:ln>
            <a:effectLst/>
          </c:spPr>
          <c:marker>
            <c:symbol val="circle"/>
            <c:size val="5"/>
            <c:spPr>
              <a:solidFill>
                <a:srgbClr val="C00000"/>
              </a:solidFill>
              <a:ln w="9525">
                <a:noFill/>
              </a:ln>
              <a:effectLst/>
            </c:spPr>
          </c:marker>
          <c:cat>
            <c:numRef>
              <c:f>'4. RENTA, PROT, POBREZA Y VIV'!$J$71:$W$71</c:f>
              <c:numCache>
                <c:formatCode>General</c:formatCode>
                <c:ptCount val="6"/>
                <c:pt idx="0">
                  <c:v>2010</c:v>
                </c:pt>
                <c:pt idx="1">
                  <c:v>2015</c:v>
                </c:pt>
                <c:pt idx="2">
                  <c:v>2020</c:v>
                </c:pt>
                <c:pt idx="3">
                  <c:v>2021</c:v>
                </c:pt>
                <c:pt idx="4">
                  <c:v>2022</c:v>
                </c:pt>
                <c:pt idx="5">
                  <c:v>2023</c:v>
                </c:pt>
              </c:numCache>
            </c:numRef>
          </c:cat>
          <c:val>
            <c:numRef>
              <c:f>'4. RENTA, PROT, POBREZA Y VIV'!$J$74:$W$74</c:f>
              <c:numCache>
                <c:formatCode>_-* #,##0.0_-;\-* #,##0.0_-;_-* "-"??_-;_-@_-</c:formatCode>
                <c:ptCount val="6"/>
                <c:pt idx="0">
                  <c:v>14.8</c:v>
                </c:pt>
                <c:pt idx="1">
                  <c:v>10</c:v>
                </c:pt>
                <c:pt idx="2">
                  <c:v>8.5</c:v>
                </c:pt>
                <c:pt idx="3">
                  <c:v>12.5</c:v>
                </c:pt>
                <c:pt idx="4" formatCode="General">
                  <c:v>10</c:v>
                </c:pt>
                <c:pt idx="5" formatCode="General">
                  <c:v>13.9</c:v>
                </c:pt>
              </c:numCache>
            </c:numRef>
          </c:val>
          <c:smooth val="0"/>
          <c:extLst>
            <c:ext xmlns:c16="http://schemas.microsoft.com/office/drawing/2014/chart" uri="{C3380CC4-5D6E-409C-BE32-E72D297353CC}">
              <c16:uniqueId val="{00000008-6CFD-4E47-B35B-8AEF8792788D}"/>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in val="-1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8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4.8  Solicitantes</a:t>
            </a:r>
            <a:r>
              <a:rPr lang="it-IT" sz="1200" b="1" baseline="0"/>
              <a:t> de la </a:t>
            </a:r>
            <a:r>
              <a:rPr lang="it-IT" sz="1200" b="1"/>
              <a:t>Renta mínima inserción</a:t>
            </a:r>
          </a:p>
        </c:rich>
      </c:tx>
      <c:layout>
        <c:manualLayout>
          <c:xMode val="edge"/>
          <c:yMode val="edge"/>
          <c:x val="0.22629713656101016"/>
          <c:y val="2.07762477773642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'4. RENTA, PROT, POBREZA Y VIV'!$D$42</c:f>
              <c:strCache>
                <c:ptCount val="1"/>
                <c:pt idx="0">
                  <c:v>Brecha (N)</c:v>
                </c:pt>
              </c:strCache>
            </c:strRef>
          </c:tx>
          <c:spPr>
            <a:solidFill>
              <a:srgbClr val="FF8989">
                <a:alpha val="80000"/>
              </a:srgbClr>
            </a:solidFill>
            <a:ln>
              <a:noFill/>
            </a:ln>
            <a:effectLst/>
          </c:spPr>
          <c:invertIfNegative val="0"/>
          <c:cat>
            <c:numRef>
              <c:f>'4. RENTA, PROT, POBREZA Y VIV'!$U$38:$X$38</c:f>
              <c:numCache>
                <c:formatCode>General</c:formatCode>
                <c:ptCount val="4"/>
                <c:pt idx="0">
                  <c:v>2021</c:v>
                </c:pt>
                <c:pt idx="1">
                  <c:v>2022</c:v>
                </c:pt>
                <c:pt idx="2">
                  <c:v>2023</c:v>
                </c:pt>
                <c:pt idx="3">
                  <c:v>2024</c:v>
                </c:pt>
              </c:numCache>
            </c:numRef>
          </c:cat>
          <c:val>
            <c:numRef>
              <c:f>'4. RENTA, PROT, POBREZA Y VIV'!$U$42:$X$42</c:f>
              <c:numCache>
                <c:formatCode>0</c:formatCode>
                <c:ptCount val="4"/>
                <c:pt idx="0">
                  <c:v>815</c:v>
                </c:pt>
                <c:pt idx="1">
                  <c:v>509</c:v>
                </c:pt>
                <c:pt idx="2">
                  <c:v>202</c:v>
                </c:pt>
                <c:pt idx="3">
                  <c:v>154</c:v>
                </c:pt>
              </c:numCache>
            </c:numRef>
          </c:val>
          <c:extLst>
            <c:ext xmlns:c16="http://schemas.microsoft.com/office/drawing/2014/chart" uri="{C3380CC4-5D6E-409C-BE32-E72D297353CC}">
              <c16:uniqueId val="{00000005-B863-435E-A5EC-EC804975B2B4}"/>
            </c:ext>
          </c:extLst>
        </c:ser>
        <c:dLbls>
          <c:showLegendKey val="0"/>
          <c:showVal val="0"/>
          <c:showCatName val="0"/>
          <c:showSerName val="0"/>
          <c:showPercent val="0"/>
          <c:showBubbleSize val="0"/>
        </c:dLbls>
        <c:gapWidth val="150"/>
        <c:overlap val="100"/>
        <c:axId val="1178732271"/>
        <c:axId val="1404224031"/>
      </c:barChart>
      <c:lineChart>
        <c:grouping val="stacked"/>
        <c:varyColors val="0"/>
        <c:ser>
          <c:idx val="0"/>
          <c:order val="0"/>
          <c:tx>
            <c:strRef>
              <c:f>'4. RENTA, PROT, POBREZA Y VIV'!$D$40</c:f>
              <c:strCache>
                <c:ptCount val="1"/>
                <c:pt idx="0">
                  <c:v>Hombres (N)</c:v>
                </c:pt>
              </c:strCache>
            </c:strRef>
          </c:tx>
          <c:spPr>
            <a:ln w="12700" cap="rnd">
              <a:solidFill>
                <a:schemeClr val="accent3"/>
              </a:solidFill>
              <a:round/>
            </a:ln>
            <a:effectLst/>
          </c:spPr>
          <c:marker>
            <c:symbol val="circle"/>
            <c:size val="5"/>
            <c:spPr>
              <a:solidFill>
                <a:schemeClr val="bg2">
                  <a:lumMod val="50000"/>
                </a:schemeClr>
              </a:solidFill>
              <a:ln w="12700">
                <a:noFill/>
                <a:miter lim="800000"/>
              </a:ln>
              <a:effectLst/>
            </c:spPr>
          </c:marker>
          <c:cat>
            <c:numRef>
              <c:f>'4. RENTA, PROT, POBREZA Y VIV'!$U$38:$X$38</c:f>
              <c:numCache>
                <c:formatCode>General</c:formatCode>
                <c:ptCount val="4"/>
                <c:pt idx="0">
                  <c:v>2021</c:v>
                </c:pt>
                <c:pt idx="1">
                  <c:v>2022</c:v>
                </c:pt>
                <c:pt idx="2">
                  <c:v>2023</c:v>
                </c:pt>
                <c:pt idx="3">
                  <c:v>2024</c:v>
                </c:pt>
              </c:numCache>
            </c:numRef>
          </c:cat>
          <c:val>
            <c:numRef>
              <c:f>'4. RENTA, PROT, POBREZA Y VIV'!$U$40:$X$40</c:f>
              <c:numCache>
                <c:formatCode>_-* #,##0_-;\-* #,##0_-;_-* "-"??_-;_-@_-</c:formatCode>
                <c:ptCount val="4"/>
                <c:pt idx="0">
                  <c:v>1022</c:v>
                </c:pt>
                <c:pt idx="1">
                  <c:v>465</c:v>
                </c:pt>
                <c:pt idx="2">
                  <c:v>326</c:v>
                </c:pt>
                <c:pt idx="3">
                  <c:v>193</c:v>
                </c:pt>
              </c:numCache>
            </c:numRef>
          </c:val>
          <c:smooth val="0"/>
          <c:extLst>
            <c:ext xmlns:c16="http://schemas.microsoft.com/office/drawing/2014/chart" uri="{C3380CC4-5D6E-409C-BE32-E72D297353CC}">
              <c16:uniqueId val="{00000004-ECFC-45A1-A28A-67FCB5E5219B}"/>
            </c:ext>
          </c:extLst>
        </c:ser>
        <c:ser>
          <c:idx val="1"/>
          <c:order val="1"/>
          <c:tx>
            <c:strRef>
              <c:f>'4. RENTA, PROT, POBREZA Y VIV'!$D$41</c:f>
              <c:strCache>
                <c:ptCount val="1"/>
                <c:pt idx="0">
                  <c:v>Mujeres (N)</c:v>
                </c:pt>
              </c:strCache>
            </c:strRef>
          </c:tx>
          <c:spPr>
            <a:ln w="12700" cap="rnd">
              <a:solidFill>
                <a:srgbClr val="C00000"/>
              </a:solidFill>
              <a:round/>
            </a:ln>
            <a:effectLst/>
          </c:spPr>
          <c:marker>
            <c:symbol val="circle"/>
            <c:size val="5"/>
            <c:spPr>
              <a:solidFill>
                <a:srgbClr val="C00000"/>
              </a:solidFill>
              <a:ln w="12700">
                <a:noFill/>
                <a:miter lim="800000"/>
              </a:ln>
              <a:effectLst/>
            </c:spPr>
          </c:marker>
          <c:cat>
            <c:numRef>
              <c:f>'4. RENTA, PROT, POBREZA Y VIV'!$U$38:$X$38</c:f>
              <c:numCache>
                <c:formatCode>General</c:formatCode>
                <c:ptCount val="4"/>
                <c:pt idx="0">
                  <c:v>2021</c:v>
                </c:pt>
                <c:pt idx="1">
                  <c:v>2022</c:v>
                </c:pt>
                <c:pt idx="2">
                  <c:v>2023</c:v>
                </c:pt>
                <c:pt idx="3">
                  <c:v>2024</c:v>
                </c:pt>
              </c:numCache>
            </c:numRef>
          </c:cat>
          <c:val>
            <c:numRef>
              <c:f>'4. RENTA, PROT, POBREZA Y VIV'!$U$41:$X$41</c:f>
              <c:numCache>
                <c:formatCode>_-* #,##0_-;\-* #,##0_-;_-* "-"??_-;_-@_-</c:formatCode>
                <c:ptCount val="4"/>
                <c:pt idx="0">
                  <c:v>1837</c:v>
                </c:pt>
                <c:pt idx="1">
                  <c:v>974</c:v>
                </c:pt>
                <c:pt idx="2">
                  <c:v>528</c:v>
                </c:pt>
                <c:pt idx="3">
                  <c:v>347</c:v>
                </c:pt>
              </c:numCache>
            </c:numRef>
          </c:val>
          <c:smooth val="0"/>
          <c:extLst>
            <c:ext xmlns:c16="http://schemas.microsoft.com/office/drawing/2014/chart" uri="{C3380CC4-5D6E-409C-BE32-E72D297353CC}">
              <c16:uniqueId val="{00000004-B863-435E-A5EC-EC804975B2B4}"/>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4.8  Perceptores/as</a:t>
            </a:r>
            <a:r>
              <a:rPr lang="it-IT" sz="1200" b="1" baseline="0"/>
              <a:t> t</a:t>
            </a:r>
            <a:r>
              <a:rPr lang="it-IT" sz="1200" b="1"/>
              <a:t>itulares de la Renta mínima inserción</a:t>
            </a:r>
          </a:p>
        </c:rich>
      </c:tx>
      <c:layout>
        <c:manualLayout>
          <c:xMode val="edge"/>
          <c:yMode val="edge"/>
          <c:x val="0.22188984370594339"/>
          <c:y val="2.07762477773642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'4. RENTA, PROT, POBREZA Y VIV'!$D$47</c:f>
              <c:strCache>
                <c:ptCount val="1"/>
                <c:pt idx="0">
                  <c:v>Brecha (N)</c:v>
                </c:pt>
              </c:strCache>
            </c:strRef>
          </c:tx>
          <c:spPr>
            <a:solidFill>
              <a:srgbClr val="FF8989">
                <a:alpha val="80000"/>
              </a:srgbClr>
            </a:solidFill>
            <a:ln>
              <a:noFill/>
            </a:ln>
            <a:effectLst/>
          </c:spPr>
          <c:invertIfNegative val="0"/>
          <c:cat>
            <c:numRef>
              <c:f>'4. RENTA, PROT, POBREZA Y VIV'!$U$38:$X$38</c:f>
              <c:numCache>
                <c:formatCode>General</c:formatCode>
                <c:ptCount val="4"/>
                <c:pt idx="0">
                  <c:v>2021</c:v>
                </c:pt>
                <c:pt idx="1">
                  <c:v>2022</c:v>
                </c:pt>
                <c:pt idx="2">
                  <c:v>2023</c:v>
                </c:pt>
                <c:pt idx="3">
                  <c:v>2024</c:v>
                </c:pt>
              </c:numCache>
            </c:numRef>
          </c:cat>
          <c:val>
            <c:numRef>
              <c:f>'4. RENTA, PROT, POBREZA Y VIV'!$U$47:$X$47</c:f>
              <c:numCache>
                <c:formatCode>_-* #,##0_-;\-* #,##0_-;_-* "-"??_-;_-@_-</c:formatCode>
                <c:ptCount val="4"/>
                <c:pt idx="0">
                  <c:v>2543</c:v>
                </c:pt>
                <c:pt idx="1">
                  <c:v>1177</c:v>
                </c:pt>
                <c:pt idx="2">
                  <c:v>544</c:v>
                </c:pt>
                <c:pt idx="3">
                  <c:v>146</c:v>
                </c:pt>
              </c:numCache>
            </c:numRef>
          </c:val>
          <c:extLst>
            <c:ext xmlns:c16="http://schemas.microsoft.com/office/drawing/2014/chart" uri="{C3380CC4-5D6E-409C-BE32-E72D297353CC}">
              <c16:uniqueId val="{00000004-E87B-423F-97BA-4A3B21D9FBF0}"/>
            </c:ext>
          </c:extLst>
        </c:ser>
        <c:dLbls>
          <c:showLegendKey val="0"/>
          <c:showVal val="0"/>
          <c:showCatName val="0"/>
          <c:showSerName val="0"/>
          <c:showPercent val="0"/>
          <c:showBubbleSize val="0"/>
        </c:dLbls>
        <c:gapWidth val="150"/>
        <c:overlap val="100"/>
        <c:axId val="1178732271"/>
        <c:axId val="1404224031"/>
      </c:barChart>
      <c:lineChart>
        <c:grouping val="stacked"/>
        <c:varyColors val="0"/>
        <c:ser>
          <c:idx val="0"/>
          <c:order val="0"/>
          <c:tx>
            <c:strRef>
              <c:f>'4. RENTA, PROT, POBREZA Y VIV'!$D$45</c:f>
              <c:strCache>
                <c:ptCount val="1"/>
                <c:pt idx="0">
                  <c:v>Hombres (N)</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f>'4. RENTA, PROT, POBREZA Y VIV'!$U$38:$X$38</c:f>
              <c:numCache>
                <c:formatCode>General</c:formatCode>
                <c:ptCount val="4"/>
                <c:pt idx="0">
                  <c:v>2021</c:v>
                </c:pt>
                <c:pt idx="1">
                  <c:v>2022</c:v>
                </c:pt>
                <c:pt idx="2">
                  <c:v>2023</c:v>
                </c:pt>
                <c:pt idx="3">
                  <c:v>2024</c:v>
                </c:pt>
              </c:numCache>
            </c:numRef>
          </c:cat>
          <c:val>
            <c:numRef>
              <c:f>'4. RENTA, PROT, POBREZA Y VIV'!$U$45:$X$45</c:f>
              <c:numCache>
                <c:formatCode>_-* #,##0_-;\-* #,##0_-;_-* "-"??_-;_-@_-</c:formatCode>
                <c:ptCount val="4"/>
                <c:pt idx="0">
                  <c:v>2882</c:v>
                </c:pt>
                <c:pt idx="1">
                  <c:v>1331</c:v>
                </c:pt>
                <c:pt idx="2">
                  <c:v>505</c:v>
                </c:pt>
                <c:pt idx="3">
                  <c:v>1044</c:v>
                </c:pt>
              </c:numCache>
            </c:numRef>
          </c:val>
          <c:smooth val="0"/>
          <c:extLst>
            <c:ext xmlns:c16="http://schemas.microsoft.com/office/drawing/2014/chart" uri="{C3380CC4-5D6E-409C-BE32-E72D297353CC}">
              <c16:uniqueId val="{00000001-E626-4870-9DE0-63F89E140028}"/>
            </c:ext>
          </c:extLst>
        </c:ser>
        <c:ser>
          <c:idx val="1"/>
          <c:order val="1"/>
          <c:tx>
            <c:strRef>
              <c:f>'4. RENTA, PROT, POBREZA Y VIV'!$D$46</c:f>
              <c:strCache>
                <c:ptCount val="1"/>
                <c:pt idx="0">
                  <c:v>Mujeres (N)</c:v>
                </c:pt>
              </c:strCache>
            </c:strRef>
          </c:tx>
          <c:spPr>
            <a:ln w="12700" cap="rnd">
              <a:solidFill>
                <a:srgbClr val="C00000"/>
              </a:solidFill>
              <a:round/>
            </a:ln>
            <a:effectLst/>
          </c:spPr>
          <c:marker>
            <c:symbol val="circle"/>
            <c:size val="5"/>
            <c:spPr>
              <a:solidFill>
                <a:srgbClr val="C00000"/>
              </a:solidFill>
              <a:ln w="12700">
                <a:noFill/>
                <a:miter lim="800000"/>
              </a:ln>
              <a:effectLst/>
            </c:spPr>
          </c:marker>
          <c:cat>
            <c:numRef>
              <c:f>'4. RENTA, PROT, POBREZA Y VIV'!$U$38:$X$38</c:f>
              <c:numCache>
                <c:formatCode>General</c:formatCode>
                <c:ptCount val="4"/>
                <c:pt idx="0">
                  <c:v>2021</c:v>
                </c:pt>
                <c:pt idx="1">
                  <c:v>2022</c:v>
                </c:pt>
                <c:pt idx="2">
                  <c:v>2023</c:v>
                </c:pt>
                <c:pt idx="3">
                  <c:v>2024</c:v>
                </c:pt>
              </c:numCache>
            </c:numRef>
          </c:cat>
          <c:val>
            <c:numRef>
              <c:f>'4. RENTA, PROT, POBREZA Y VIV'!$U$46:$X$46</c:f>
              <c:numCache>
                <c:formatCode>_-* #,##0_-;\-* #,##0_-;_-* "-"??_-;_-@_-</c:formatCode>
                <c:ptCount val="4"/>
                <c:pt idx="0">
                  <c:v>5425</c:v>
                </c:pt>
                <c:pt idx="1">
                  <c:v>2508</c:v>
                </c:pt>
                <c:pt idx="2">
                  <c:v>1049</c:v>
                </c:pt>
                <c:pt idx="3">
                  <c:v>1190</c:v>
                </c:pt>
              </c:numCache>
            </c:numRef>
          </c:val>
          <c:smooth val="0"/>
          <c:extLst>
            <c:ext xmlns:c16="http://schemas.microsoft.com/office/drawing/2014/chart" uri="{C3380CC4-5D6E-409C-BE32-E72D297353CC}">
              <c16:uniqueId val="{00000003-E87B-423F-97BA-4A3B21D9FBF0}"/>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b="1"/>
              <a:t>  4.10.</a:t>
            </a:r>
            <a:r>
              <a:rPr lang="it-IT" sz="1200" b="1" baseline="0"/>
              <a:t> </a:t>
            </a:r>
            <a:r>
              <a:rPr lang="it-IT" sz="1200" b="1"/>
              <a:t>Personas</a:t>
            </a:r>
            <a:r>
              <a:rPr lang="it-IT" sz="1200" b="1" baseline="0"/>
              <a:t> atendidas en Atención Social Primaria de Centros de Servicios Sociales</a:t>
            </a:r>
            <a:endParaRPr lang="it-IT" sz="1200" b="1"/>
          </a:p>
        </c:rich>
      </c:tx>
      <c:layout>
        <c:manualLayout>
          <c:xMode val="edge"/>
          <c:yMode val="edge"/>
          <c:x val="0.1443859105839532"/>
          <c:y val="3.589367118676382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 RENTA, PROT, POBREZA Y VIV'!$D$59</c:f>
              <c:strCache>
                <c:ptCount val="1"/>
                <c:pt idx="0">
                  <c:v>Brecha (N)</c:v>
                </c:pt>
              </c:strCache>
            </c:strRef>
          </c:tx>
          <c:spPr>
            <a:solidFill>
              <a:srgbClr val="FF8989">
                <a:alpha val="80000"/>
              </a:srgbClr>
            </a:solidFill>
            <a:ln>
              <a:noFill/>
            </a:ln>
            <a:effectLst/>
          </c:spPr>
          <c:invertIfNegative val="0"/>
          <c:dLbls>
            <c:dLbl>
              <c:idx val="0"/>
              <c:layout>
                <c:manualLayout>
                  <c:x val="-4.0399717803792118E-17"/>
                  <c:y val="2.060079042150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12-4276-9DAF-F82D60BD137B}"/>
                </c:ext>
              </c:extLst>
            </c:dLbl>
            <c:dLbl>
              <c:idx val="1"/>
              <c:layout>
                <c:manualLayout>
                  <c:x val="2.2036464275334341E-3"/>
                  <c:y val="1.648063233720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12-4276-9DAF-F82D60BD137B}"/>
                </c:ext>
              </c:extLst>
            </c:dLbl>
            <c:dLbl>
              <c:idx val="2"/>
              <c:layout>
                <c:manualLayout>
                  <c:x val="0"/>
                  <c:y val="2.060079042150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12-4276-9DAF-F82D60BD137B}"/>
                </c:ext>
              </c:extLst>
            </c:dLbl>
            <c:dLbl>
              <c:idx val="3"/>
              <c:layout>
                <c:manualLayout>
                  <c:x val="0"/>
                  <c:y val="2.0600790421508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12-4276-9DAF-F82D60BD13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RENTA, PROT, POBREZA Y VIV'!$T$55:$X$55</c:f>
              <c:numCache>
                <c:formatCode>General</c:formatCode>
                <c:ptCount val="5"/>
                <c:pt idx="0">
                  <c:v>2020</c:v>
                </c:pt>
                <c:pt idx="1">
                  <c:v>2021</c:v>
                </c:pt>
                <c:pt idx="2">
                  <c:v>2022</c:v>
                </c:pt>
                <c:pt idx="3">
                  <c:v>2023</c:v>
                </c:pt>
                <c:pt idx="4">
                  <c:v>2024</c:v>
                </c:pt>
              </c:numCache>
            </c:numRef>
          </c:cat>
          <c:val>
            <c:numRef>
              <c:f>'4. RENTA, PROT, POBREZA Y VIV'!$T$59:$X$59</c:f>
              <c:numCache>
                <c:formatCode>#,##0</c:formatCode>
                <c:ptCount val="5"/>
                <c:pt idx="0">
                  <c:v>109864</c:v>
                </c:pt>
                <c:pt idx="1">
                  <c:v>106591</c:v>
                </c:pt>
                <c:pt idx="2">
                  <c:v>109793</c:v>
                </c:pt>
                <c:pt idx="3">
                  <c:v>112295</c:v>
                </c:pt>
                <c:pt idx="4">
                  <c:v>114957</c:v>
                </c:pt>
              </c:numCache>
            </c:numRef>
          </c:val>
          <c:extLst>
            <c:ext xmlns:c16="http://schemas.microsoft.com/office/drawing/2014/chart" uri="{C3380CC4-5D6E-409C-BE32-E72D297353CC}">
              <c16:uniqueId val="{00000002-A3DA-4073-AD91-52726433BD56}"/>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'4. RENTA, PROT, POBREZA Y VIV'!$D$57</c:f>
              <c:strCache>
                <c:ptCount val="1"/>
                <c:pt idx="0">
                  <c:v>Hombres (N)</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f>'4. RENTA, PROT, POBREZA Y VIV'!$T$55:$X$55</c:f>
              <c:numCache>
                <c:formatCode>General</c:formatCode>
                <c:ptCount val="5"/>
                <c:pt idx="0">
                  <c:v>2020</c:v>
                </c:pt>
                <c:pt idx="1">
                  <c:v>2021</c:v>
                </c:pt>
                <c:pt idx="2">
                  <c:v>2022</c:v>
                </c:pt>
                <c:pt idx="3">
                  <c:v>2023</c:v>
                </c:pt>
                <c:pt idx="4">
                  <c:v>2024</c:v>
                </c:pt>
              </c:numCache>
            </c:numRef>
          </c:cat>
          <c:val>
            <c:numRef>
              <c:f>'4. RENTA, PROT, POBREZA Y VIV'!$T$57:$X$57</c:f>
              <c:numCache>
                <c:formatCode>#,##0</c:formatCode>
                <c:ptCount val="5"/>
                <c:pt idx="0">
                  <c:v>180027</c:v>
                </c:pt>
                <c:pt idx="1">
                  <c:v>165397</c:v>
                </c:pt>
                <c:pt idx="2">
                  <c:v>164191</c:v>
                </c:pt>
                <c:pt idx="3">
                  <c:v>169794</c:v>
                </c:pt>
                <c:pt idx="4">
                  <c:v>174916</c:v>
                </c:pt>
              </c:numCache>
            </c:numRef>
          </c:val>
          <c:smooth val="0"/>
          <c:extLst>
            <c:ext xmlns:c16="http://schemas.microsoft.com/office/drawing/2014/chart" uri="{C3380CC4-5D6E-409C-BE32-E72D297353CC}">
              <c16:uniqueId val="{0000000A-8058-474A-8A89-F4645A5E9A24}"/>
            </c:ext>
          </c:extLst>
        </c:ser>
        <c:ser>
          <c:idx val="1"/>
          <c:order val="1"/>
          <c:tx>
            <c:strRef>
              <c:f>'4. RENTA, PROT, POBREZA Y VIV'!$D$58</c:f>
              <c:strCache>
                <c:ptCount val="1"/>
                <c:pt idx="0">
                  <c:v>Mujeres (N)</c:v>
                </c:pt>
              </c:strCache>
            </c:strRef>
          </c:tx>
          <c:spPr>
            <a:ln w="12700" cap="rnd">
              <a:solidFill>
                <a:srgbClr val="C00000"/>
              </a:solidFill>
              <a:round/>
            </a:ln>
            <a:effectLst/>
          </c:spPr>
          <c:marker>
            <c:symbol val="circle"/>
            <c:size val="5"/>
            <c:spPr>
              <a:solidFill>
                <a:srgbClr val="C00000"/>
              </a:solidFill>
              <a:ln w="12700">
                <a:noFill/>
                <a:miter lim="800000"/>
              </a:ln>
              <a:effectLst/>
            </c:spPr>
          </c:marker>
          <c:cat>
            <c:numRef>
              <c:f>'4. RENTA, PROT, POBREZA Y VIV'!$T$55:$X$55</c:f>
              <c:numCache>
                <c:formatCode>General</c:formatCode>
                <c:ptCount val="5"/>
                <c:pt idx="0">
                  <c:v>2020</c:v>
                </c:pt>
                <c:pt idx="1">
                  <c:v>2021</c:v>
                </c:pt>
                <c:pt idx="2">
                  <c:v>2022</c:v>
                </c:pt>
                <c:pt idx="3">
                  <c:v>2023</c:v>
                </c:pt>
                <c:pt idx="4">
                  <c:v>2024</c:v>
                </c:pt>
              </c:numCache>
            </c:numRef>
          </c:cat>
          <c:val>
            <c:numRef>
              <c:f>'4. RENTA, PROT, POBREZA Y VIV'!$T$58:$X$58</c:f>
              <c:numCache>
                <c:formatCode>#,##0</c:formatCode>
                <c:ptCount val="5"/>
                <c:pt idx="0">
                  <c:v>289891</c:v>
                </c:pt>
                <c:pt idx="1">
                  <c:v>271988</c:v>
                </c:pt>
                <c:pt idx="2">
                  <c:v>273984</c:v>
                </c:pt>
                <c:pt idx="3">
                  <c:v>282089</c:v>
                </c:pt>
                <c:pt idx="4">
                  <c:v>289873</c:v>
                </c:pt>
              </c:numCache>
            </c:numRef>
          </c:val>
          <c:smooth val="0"/>
          <c:extLst>
            <c:ext xmlns:c16="http://schemas.microsoft.com/office/drawing/2014/chart" uri="{C3380CC4-5D6E-409C-BE32-E72D297353CC}">
              <c16:uniqueId val="{00000001-A3DA-4073-AD91-52726433BD56}"/>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8000"/>
          </a:schemeClr>
        </a:solidFill>
        <a:ln>
          <a:solidFill>
            <a:schemeClr val="bg1"/>
          </a:solidFill>
        </a:ln>
        <a:effectLst/>
      </c:spPr>
    </c:plotArea>
    <c:legend>
      <c:legendPos val="b"/>
      <c:layout>
        <c:manualLayout>
          <c:xMode val="edge"/>
          <c:yMode val="edge"/>
          <c:x val="0.38286573210049302"/>
          <c:y val="0.90218894889401269"/>
          <c:w val="0.49948794805768593"/>
          <c:h val="7.545436013566110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5.1 Esperanza de vida al nacer (años)</a:t>
            </a:r>
          </a:p>
        </c:rich>
      </c:tx>
      <c:layout>
        <c:manualLayout>
          <c:xMode val="edge"/>
          <c:yMode val="edge"/>
          <c:x val="0.34250798611111111"/>
          <c:y val="3.284722222222222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'5. SALUD'!$B$6:$C$6</c:f>
              <c:strCache>
                <c:ptCount val="2"/>
                <c:pt idx="0">
                  <c:v>Brecha (años)</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 SALUD'!$S$2:$V$2</c:f>
              <c:numCache>
                <c:formatCode>General</c:formatCode>
                <c:ptCount val="4"/>
                <c:pt idx="0">
                  <c:v>2020</c:v>
                </c:pt>
                <c:pt idx="1">
                  <c:v>2021</c:v>
                </c:pt>
                <c:pt idx="2">
                  <c:v>2022</c:v>
                </c:pt>
                <c:pt idx="3">
                  <c:v>2023</c:v>
                </c:pt>
              </c:numCache>
            </c:numRef>
          </c:cat>
          <c:val>
            <c:numRef>
              <c:f>'5. SALUD'!$S$6:$V$6</c:f>
              <c:numCache>
                <c:formatCode>0.0</c:formatCode>
                <c:ptCount val="4"/>
                <c:pt idx="0">
                  <c:v>5.9000000000000057</c:v>
                </c:pt>
                <c:pt idx="1">
                  <c:v>5.5999999999999943</c:v>
                </c:pt>
                <c:pt idx="2">
                  <c:v>5.137413934257836</c:v>
                </c:pt>
                <c:pt idx="3">
                  <c:v>4.5</c:v>
                </c:pt>
              </c:numCache>
            </c:numRef>
          </c:val>
          <c:extLst>
            <c:ext xmlns:c16="http://schemas.microsoft.com/office/drawing/2014/chart" uri="{C3380CC4-5D6E-409C-BE32-E72D297353CC}">
              <c16:uniqueId val="{00000014-C371-4BBF-B7FE-53610A3DF11C}"/>
            </c:ext>
          </c:extLst>
        </c:ser>
        <c:dLbls>
          <c:showLegendKey val="0"/>
          <c:showVal val="0"/>
          <c:showCatName val="0"/>
          <c:showSerName val="0"/>
          <c:showPercent val="0"/>
          <c:showBubbleSize val="0"/>
        </c:dLbls>
        <c:gapWidth val="150"/>
        <c:overlap val="100"/>
        <c:axId val="1178732271"/>
        <c:axId val="1404224031"/>
      </c:barChart>
      <c:lineChart>
        <c:grouping val="standard"/>
        <c:varyColors val="0"/>
        <c:ser>
          <c:idx val="0"/>
          <c:order val="0"/>
          <c:tx>
            <c:strRef>
              <c:f>'5. SALUD'!$B$4:$C$4</c:f>
              <c:strCache>
                <c:ptCount val="2"/>
                <c:pt idx="0">
                  <c:v>Hombres</c:v>
                </c:pt>
              </c:strCache>
            </c:strRef>
          </c:tx>
          <c:spPr>
            <a:ln w="19050" cap="rnd">
              <a:solidFill>
                <a:schemeClr val="tx1">
                  <a:lumMod val="50000"/>
                  <a:lumOff val="50000"/>
                </a:schemeClr>
              </a:solidFill>
              <a:round/>
            </a:ln>
            <a:effectLst/>
          </c:spPr>
          <c:marker>
            <c:symbol val="circle"/>
            <c:size val="5"/>
            <c:spPr>
              <a:solidFill>
                <a:schemeClr val="tx1">
                  <a:lumMod val="50000"/>
                  <a:lumOff val="50000"/>
                </a:schemeClr>
              </a:solidFill>
              <a:ln w="9525">
                <a:noFill/>
              </a:ln>
              <a:effectLst/>
            </c:spPr>
          </c:marker>
          <c:cat>
            <c:numRef>
              <c:f>'5. SALUD'!$S$2:$V$2</c:f>
              <c:numCache>
                <c:formatCode>General</c:formatCode>
                <c:ptCount val="4"/>
                <c:pt idx="0">
                  <c:v>2020</c:v>
                </c:pt>
                <c:pt idx="1">
                  <c:v>2021</c:v>
                </c:pt>
                <c:pt idx="2">
                  <c:v>2022</c:v>
                </c:pt>
                <c:pt idx="3">
                  <c:v>2023</c:v>
                </c:pt>
              </c:numCache>
            </c:numRef>
          </c:cat>
          <c:val>
            <c:numRef>
              <c:f>'5. SALUD'!$S$4:$V$4</c:f>
              <c:numCache>
                <c:formatCode>0.0</c:formatCode>
                <c:ptCount val="4"/>
                <c:pt idx="0">
                  <c:v>79.3</c:v>
                </c:pt>
                <c:pt idx="1">
                  <c:v>82</c:v>
                </c:pt>
                <c:pt idx="2">
                  <c:v>82.461531474793702</c:v>
                </c:pt>
                <c:pt idx="3">
                  <c:v>83.5</c:v>
                </c:pt>
              </c:numCache>
            </c:numRef>
          </c:val>
          <c:smooth val="0"/>
          <c:extLst xmlns:c15="http://schemas.microsoft.com/office/drawing/2012/chart">
            <c:ext xmlns:c16="http://schemas.microsoft.com/office/drawing/2014/chart" uri="{C3380CC4-5D6E-409C-BE32-E72D297353CC}">
              <c16:uniqueId val="{00000001-576E-42F8-9E62-BFB2F78B03E8}"/>
            </c:ext>
          </c:extLst>
        </c:ser>
        <c:ser>
          <c:idx val="1"/>
          <c:order val="1"/>
          <c:tx>
            <c:strRef>
              <c:f>'5. SALUD'!$B$5:$C$5</c:f>
              <c:strCache>
                <c:ptCount val="2"/>
                <c:pt idx="0">
                  <c:v>Mujeres</c:v>
                </c:pt>
              </c:strCache>
            </c:strRef>
          </c:tx>
          <c:spPr>
            <a:ln w="19050" cap="rnd">
              <a:solidFill>
                <a:srgbClr val="C00000"/>
              </a:solidFill>
              <a:round/>
            </a:ln>
            <a:effectLst/>
          </c:spPr>
          <c:marker>
            <c:symbol val="circle"/>
            <c:size val="5"/>
            <c:spPr>
              <a:solidFill>
                <a:srgbClr val="C00000"/>
              </a:solidFill>
              <a:ln w="9525">
                <a:noFill/>
              </a:ln>
              <a:effectLst/>
            </c:spPr>
          </c:marker>
          <c:cat>
            <c:numRef>
              <c:f>'5. SALUD'!$S$2:$V$2</c:f>
              <c:numCache>
                <c:formatCode>General</c:formatCode>
                <c:ptCount val="4"/>
                <c:pt idx="0">
                  <c:v>2020</c:v>
                </c:pt>
                <c:pt idx="1">
                  <c:v>2021</c:v>
                </c:pt>
                <c:pt idx="2">
                  <c:v>2022</c:v>
                </c:pt>
                <c:pt idx="3">
                  <c:v>2023</c:v>
                </c:pt>
              </c:numCache>
            </c:numRef>
          </c:cat>
          <c:val>
            <c:numRef>
              <c:f>'5. SALUD'!$S$5:$V$5</c:f>
              <c:numCache>
                <c:formatCode>0.0</c:formatCode>
                <c:ptCount val="4"/>
                <c:pt idx="0">
                  <c:v>85.2</c:v>
                </c:pt>
                <c:pt idx="1">
                  <c:v>87.6</c:v>
                </c:pt>
                <c:pt idx="2">
                  <c:v>87.598945409051538</c:v>
                </c:pt>
                <c:pt idx="3">
                  <c:v>88</c:v>
                </c:pt>
              </c:numCache>
            </c:numRef>
          </c:val>
          <c:smooth val="0"/>
          <c:extLst>
            <c:ext xmlns:c16="http://schemas.microsoft.com/office/drawing/2014/chart" uri="{C3380CC4-5D6E-409C-BE32-E72D297353CC}">
              <c16:uniqueId val="{00000013-C371-4BBF-B7FE-53610A3DF11C}"/>
            </c:ext>
          </c:extLst>
        </c:ser>
        <c:dLbls>
          <c:showLegendKey val="0"/>
          <c:showVal val="0"/>
          <c:showCatName val="0"/>
          <c:showSerName val="0"/>
          <c:showPercent val="0"/>
          <c:showBubbleSize val="0"/>
        </c:dLbls>
        <c:marker val="1"/>
        <c:smooth val="0"/>
        <c:axId val="1178732271"/>
        <c:axId val="1404224031"/>
        <c:extLst/>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5.2 Esperanza de vida en buena salud (años)</a:t>
            </a:r>
          </a:p>
        </c:rich>
      </c:tx>
      <c:layout>
        <c:manualLayout>
          <c:xMode val="edge"/>
          <c:yMode val="edge"/>
          <c:x val="0.34250798611111111"/>
          <c:y val="3.284722222222222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'5. SALUD'!$B$11</c:f>
              <c:strCache>
                <c:ptCount val="1"/>
                <c:pt idx="0">
                  <c:v>Brecha (años)</c:v>
                </c:pt>
              </c:strCache>
            </c:strRef>
          </c:tx>
          <c:spPr>
            <a:solidFill>
              <a:srgbClr val="FF8989">
                <a:alpha val="70000"/>
              </a:srgbClr>
            </a:solidFill>
            <a:ln>
              <a:noFill/>
            </a:ln>
            <a:effectLst/>
          </c:spPr>
          <c:invertIfNegative val="0"/>
          <c:dLbls>
            <c:dLbl>
              <c:idx val="1"/>
              <c:layout>
                <c:manualLayout>
                  <c:x val="8.1382283386242208E-17"/>
                  <c:y val="1.55144356955379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B5-498B-AC25-DA9B270832BB}"/>
                </c:ext>
              </c:extLst>
            </c:dLbl>
            <c:dLbl>
              <c:idx val="2"/>
              <c:layout>
                <c:manualLayout>
                  <c:x val="0"/>
                  <c:y val="1.78953412073490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B5-498B-AC25-DA9B270832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'5. SALUD'!$D$7:$T$7</c15:sqref>
                  </c15:fullRef>
                </c:ext>
              </c:extLst>
              <c:f>('5. SALUD'!$K$7,'5. SALUD'!$P$7,'5. SALUD'!$T$7)</c:f>
              <c:numCache>
                <c:formatCode>General</c:formatCode>
                <c:ptCount val="3"/>
                <c:pt idx="0">
                  <c:v>2012</c:v>
                </c:pt>
                <c:pt idx="1">
                  <c:v>2017</c:v>
                </c:pt>
                <c:pt idx="2">
                  <c:v>2021</c:v>
                </c:pt>
              </c:numCache>
            </c:numRef>
          </c:cat>
          <c:val>
            <c:numRef>
              <c:extLst>
                <c:ext xmlns:c15="http://schemas.microsoft.com/office/drawing/2012/chart" uri="{02D57815-91ED-43cb-92C2-25804820EDAC}">
                  <c15:fullRef>
                    <c15:sqref>'5. SALUD'!$D$11:$T$11</c15:sqref>
                  </c15:fullRef>
                </c:ext>
              </c:extLst>
              <c:f>('5. SALUD'!$K$11,'5. SALUD'!$P$11,'5. SALUD'!$T$11)</c:f>
              <c:numCache>
                <c:formatCode>_-* #,##0.0_-;\-* #,##0.0_-;_-* "-"??_-;_-@_-</c:formatCode>
                <c:ptCount val="3"/>
                <c:pt idx="0">
                  <c:v>-0.75999999999999801</c:v>
                </c:pt>
                <c:pt idx="1">
                  <c:v>-0.66000000000000369</c:v>
                </c:pt>
                <c:pt idx="2">
                  <c:v>-1.1813627880873625</c:v>
                </c:pt>
              </c:numCache>
            </c:numRef>
          </c:val>
          <c:extLst>
            <c:ext xmlns:c15="http://schemas.microsoft.com/office/drawing/2012/chart" uri="{02D57815-91ED-43cb-92C2-25804820EDAC}">
              <c15:categoryFilterExceptions>
                <c15:categoryFilterException>
                  <c15:sqref>'5. SALUD'!$D$11</c15:sqref>
                  <c15:spPr xmlns:c15="http://schemas.microsoft.com/office/drawing/2012/chart">
                    <a:solidFill>
                      <a:srgbClr val="FF8989">
                        <a:alpha val="70000"/>
                      </a:srgbClr>
                    </a:solidFill>
                    <a:ln>
                      <a:noFill/>
                    </a:ln>
                    <a:effectLst/>
                  </c15:spPr>
                  <c15:invertIfNegative val="0"/>
                  <c15:bubble3D val="0"/>
                  <c15:dLbl>
                    <c:idx val="-1"/>
                    <c:layout>
                      <c:manualLayout>
                        <c:x val="0"/>
                        <c:y val="9.246719160104987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916A-437E-BA9C-D15E3D3E7234}"/>
                      </c:ext>
                    </c:extLst>
                  </c15:dLbl>
                </c15:categoryFilterException>
                <c15:categoryFilterException>
                  <c15:sqref>'5. SALUD'!$I$11</c15:sqref>
                  <c15:dLbl>
                    <c:idx val="-1"/>
                    <c:layout>
                      <c:manualLayout>
                        <c:x val="0"/>
                        <c:y val="2.5769256622251258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916A-437E-BA9C-D15E3D3E7234}"/>
                      </c:ext>
                    </c:extLst>
                  </c15:dLbl>
                </c15:categoryFilterException>
                <c15:categoryFilterException>
                  <c15:sqref>'5. SALUD'!$L$11</c15:sqref>
                  <c15:dLbl>
                    <c:idx val="0"/>
                    <c:layout>
                      <c:manualLayout>
                        <c:x val="0"/>
                        <c:y val="1.1804790026246795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916A-437E-BA9C-D15E3D3E7234}"/>
                      </c:ext>
                    </c:extLst>
                  </c15:dLbl>
                </c15:categoryFilterException>
                <c15:categoryFilterException>
                  <c15:sqref>'5. SALUD'!$N$11</c15:sqref>
                  <c15:dLbl>
                    <c:idx val="0"/>
                    <c:layout>
                      <c:manualLayout>
                        <c:x val="-8.0846906998489925E-17"/>
                        <c:y val="2.5339751776533387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916A-437E-BA9C-D15E3D3E7234}"/>
                      </c:ext>
                    </c:extLst>
                  </c15:dLbl>
                </c15:categoryFilterException>
                <c15:categoryFilterException>
                  <c15:sqref>'5. SALUD'!$S$11</c15:sqref>
                  <c15:dLbl>
                    <c:idx val="1"/>
                    <c:layout>
                      <c:manualLayout>
                        <c:x val="-2.2049411167870503E-3"/>
                        <c:y val="2.7582070413286384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916A-437E-BA9C-D15E3D3E7234}"/>
                      </c:ext>
                    </c:extLst>
                  </c15:dLbl>
                </c15:categoryFilterException>
              </c15:categoryFilterExceptions>
            </c:ext>
            <c:ext xmlns:c16="http://schemas.microsoft.com/office/drawing/2014/chart" uri="{C3380CC4-5D6E-409C-BE32-E72D297353CC}">
              <c16:uniqueId val="{00000005-6EB5-498B-AC25-DA9B270832BB}"/>
            </c:ext>
          </c:extLst>
        </c:ser>
        <c:dLbls>
          <c:dLblPos val="inBase"/>
          <c:showLegendKey val="0"/>
          <c:showVal val="1"/>
          <c:showCatName val="0"/>
          <c:showSerName val="0"/>
          <c:showPercent val="0"/>
          <c:showBubbleSize val="0"/>
        </c:dLbls>
        <c:gapWidth val="219"/>
        <c:axId val="1178732271"/>
        <c:axId val="1404224031"/>
      </c:barChart>
      <c:lineChart>
        <c:grouping val="standard"/>
        <c:varyColors val="0"/>
        <c:ser>
          <c:idx val="0"/>
          <c:order val="0"/>
          <c:tx>
            <c:strRef>
              <c:f>'5. SALUD'!$B$9</c:f>
              <c:strCache>
                <c:ptCount val="1"/>
                <c:pt idx="0">
                  <c:v>Hombres</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dLbls>
            <c:delete val="1"/>
          </c:dLbls>
          <c:cat>
            <c:numRef>
              <c:extLst>
                <c:ext xmlns:c15="http://schemas.microsoft.com/office/drawing/2012/chart" uri="{02D57815-91ED-43cb-92C2-25804820EDAC}">
                  <c15:fullRef>
                    <c15:sqref>'5. SALUD'!$D$7:$T$7</c15:sqref>
                  </c15:fullRef>
                </c:ext>
              </c:extLst>
              <c:f>('5. SALUD'!$K$7,'5. SALUD'!$P$7,'5. SALUD'!$T$7)</c:f>
              <c:numCache>
                <c:formatCode>General</c:formatCode>
                <c:ptCount val="3"/>
                <c:pt idx="0">
                  <c:v>2012</c:v>
                </c:pt>
                <c:pt idx="1">
                  <c:v>2017</c:v>
                </c:pt>
                <c:pt idx="2">
                  <c:v>2021</c:v>
                </c:pt>
              </c:numCache>
            </c:numRef>
          </c:cat>
          <c:val>
            <c:numRef>
              <c:extLst>
                <c:ext xmlns:c15="http://schemas.microsoft.com/office/drawing/2012/chart" uri="{02D57815-91ED-43cb-92C2-25804820EDAC}">
                  <c15:fullRef>
                    <c15:sqref>'5. SALUD'!$D$9:$T$9</c15:sqref>
                  </c15:fullRef>
                </c:ext>
              </c:extLst>
              <c:f>('5. SALUD'!$K$9,'5. SALUD'!$P$9,'5. SALUD'!$T$9)</c:f>
              <c:numCache>
                <c:formatCode>General</c:formatCode>
                <c:ptCount val="3"/>
                <c:pt idx="0" formatCode="_-* #,##0.0_-;\-* #,##0.0_-;_-* &quot;-&quot;??_-;_-@_-">
                  <c:v>64.08</c:v>
                </c:pt>
                <c:pt idx="1" formatCode="_-* #,##0.0_-;\-* #,##0.0_-;_-* &quot;-&quot;??_-;_-@_-">
                  <c:v>62.31</c:v>
                </c:pt>
                <c:pt idx="2" formatCode="_-* #,##0.0_-;\-* #,##0.0_-;_-* &quot;-&quot;??_-;_-@_-">
                  <c:v>63.172283651197226</c:v>
                </c:pt>
              </c:numCache>
            </c:numRef>
          </c:val>
          <c:smooth val="0"/>
          <c:extLst>
            <c:ext xmlns:c16="http://schemas.microsoft.com/office/drawing/2014/chart" uri="{C3380CC4-5D6E-409C-BE32-E72D297353CC}">
              <c16:uniqueId val="{00000006-6EB5-498B-AC25-DA9B270832BB}"/>
            </c:ext>
          </c:extLst>
        </c:ser>
        <c:ser>
          <c:idx val="1"/>
          <c:order val="1"/>
          <c:tx>
            <c:strRef>
              <c:f>'5. SALUD'!$B$10</c:f>
              <c:strCache>
                <c:ptCount val="1"/>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dLbls>
            <c:delete val="1"/>
          </c:dLbls>
          <c:cat>
            <c:numRef>
              <c:extLst>
                <c:ext xmlns:c15="http://schemas.microsoft.com/office/drawing/2012/chart" uri="{02D57815-91ED-43cb-92C2-25804820EDAC}">
                  <c15:fullRef>
                    <c15:sqref>'5. SALUD'!$D$7:$T$7</c15:sqref>
                  </c15:fullRef>
                </c:ext>
              </c:extLst>
              <c:f>('5. SALUD'!$K$7,'5. SALUD'!$P$7,'5. SALUD'!$T$7)</c:f>
              <c:numCache>
                <c:formatCode>General</c:formatCode>
                <c:ptCount val="3"/>
                <c:pt idx="0">
                  <c:v>2012</c:v>
                </c:pt>
                <c:pt idx="1">
                  <c:v>2017</c:v>
                </c:pt>
                <c:pt idx="2">
                  <c:v>2021</c:v>
                </c:pt>
              </c:numCache>
            </c:numRef>
          </c:cat>
          <c:val>
            <c:numRef>
              <c:extLst>
                <c:ext xmlns:c15="http://schemas.microsoft.com/office/drawing/2012/chart" uri="{02D57815-91ED-43cb-92C2-25804820EDAC}">
                  <c15:fullRef>
                    <c15:sqref>'5. SALUD'!$D$10:$T$10</c15:sqref>
                  </c15:fullRef>
                </c:ext>
              </c:extLst>
              <c:f>('5. SALUD'!$K$10,'5. SALUD'!$P$10,'5. SALUD'!$T$10)</c:f>
              <c:numCache>
                <c:formatCode>General</c:formatCode>
                <c:ptCount val="3"/>
                <c:pt idx="0" formatCode="_-* #,##0.0_-;\-* #,##0.0_-;_-* &quot;-&quot;??_-;_-@_-">
                  <c:v>63.32</c:v>
                </c:pt>
                <c:pt idx="1" formatCode="_-* #,##0.0_-;\-* #,##0.0_-;_-* &quot;-&quot;??_-;_-@_-">
                  <c:v>61.65</c:v>
                </c:pt>
                <c:pt idx="2" formatCode="_-* #,##0.0_-;\-* #,##0.0_-;_-* &quot;-&quot;??_-;_-@_-">
                  <c:v>61.990920863109864</c:v>
                </c:pt>
              </c:numCache>
            </c:numRef>
          </c:val>
          <c:smooth val="0"/>
          <c:extLst>
            <c:ext xmlns:c16="http://schemas.microsoft.com/office/drawing/2014/chart" uri="{C3380CC4-5D6E-409C-BE32-E72D297353CC}">
              <c16:uniqueId val="{00000007-6EB5-498B-AC25-DA9B270832BB}"/>
            </c:ext>
          </c:extLst>
        </c:ser>
        <c:dLbls>
          <c:showLegendKey val="0"/>
          <c:showVal val="1"/>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5.3 Estado de salud percibida (buena o muy buena)</a:t>
            </a:r>
          </a:p>
        </c:rich>
      </c:tx>
      <c:layout>
        <c:manualLayout>
          <c:xMode val="edge"/>
          <c:yMode val="edge"/>
          <c:x val="0.39530571732450148"/>
          <c:y val="3.284735429382640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'5. SALUD'!$B$16</c:f>
              <c:strCache>
                <c:ptCount val="1"/>
                <c:pt idx="0">
                  <c:v>Brecha (punt.porc.)</c:v>
                </c:pt>
              </c:strCache>
            </c:strRef>
          </c:tx>
          <c:spPr>
            <a:solidFill>
              <a:srgbClr val="FF8989">
                <a:alpha val="80000"/>
              </a:srgbClr>
            </a:solidFill>
            <a:ln>
              <a:noFill/>
            </a:ln>
            <a:effectLst/>
          </c:spPr>
          <c:invertIfNegative val="0"/>
          <c:dLbls>
            <c:dLbl>
              <c:idx val="0"/>
              <c:layout>
                <c:manualLayout>
                  <c:x val="-4.0399717803792118E-17"/>
                  <c:y val="1.666036474206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42-4CF7-94DF-47158DA31D70}"/>
                </c:ext>
              </c:extLst>
            </c:dLbl>
            <c:dLbl>
              <c:idx val="1"/>
              <c:layout>
                <c:manualLayout>
                  <c:x val="0"/>
                  <c:y val="1.6661348563767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42-4CF7-94DF-47158DA31D70}"/>
                </c:ext>
              </c:extLst>
            </c:dLbl>
            <c:dLbl>
              <c:idx val="2"/>
              <c:layout>
                <c:manualLayout>
                  <c:x val="0"/>
                  <c:y val="2.08252099721480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42-4CF7-94DF-47158DA31D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'5. SALUD'!$D$12:$T$12</c15:sqref>
                  </c15:fullRef>
                </c:ext>
              </c:extLst>
              <c:f>('5. SALUD'!$L$12,'5. SALUD'!$P$12,'5. SALUD'!$T$12)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SALUD'!$D$16:$T$16</c15:sqref>
                  </c15:fullRef>
                </c:ext>
              </c:extLst>
              <c:f>('5. SALUD'!$L$16,'5. SALUD'!$P$16,'5. SALUD'!$T$16)</c:f>
              <c:numCache>
                <c:formatCode>General</c:formatCode>
                <c:ptCount val="3"/>
                <c:pt idx="0" formatCode="_-* #,##0.0_-;\-* #,##0.0_-;_-* &quot;-&quot;??_-;_-@_-">
                  <c:v>-8.7999999999999972</c:v>
                </c:pt>
                <c:pt idx="1" formatCode="_-* #,##0.0_-;\-* #,##0.0_-;_-* &quot;-&quot;??_-;_-@_-">
                  <c:v>-9.4000000000000057</c:v>
                </c:pt>
                <c:pt idx="2" formatCode="_-* #,##0.0_-;\-* #,##0.0_-;_-* &quot;-&quot;??_-;_-@_-">
                  <c:v>-9.4981814421265938</c:v>
                </c:pt>
              </c:numCache>
            </c:numRef>
          </c:val>
          <c:extLst>
            <c:ext xmlns:c15="http://schemas.microsoft.com/office/drawing/2012/chart" uri="{02D57815-91ED-43cb-92C2-25804820EDAC}">
              <c15:categoryFilterExceptions>
                <c15:categoryFilterException>
                  <c15:sqref>'5. SALUD'!$I$16</c15:sqref>
                  <c15:dLbl>
                    <c:idx val="-1"/>
                    <c:layout>
                      <c:manualLayout>
                        <c:x val="-2.2036458333333335E-3"/>
                        <c:y val="2.4828472222222221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A083-43AB-823A-7D2710AF737C}"/>
                      </c:ext>
                    </c:extLst>
                  </c15:dLbl>
                </c15:categoryFilterException>
                <c15:categoryFilterException>
                  <c15:sqref>'5. SALUD'!$N$16</c15:sqref>
                  <c15:dLbl>
                    <c:idx val="0"/>
                    <c:layout>
                      <c:manualLayout>
                        <c:x val="0"/>
                        <c:y val="2.92375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A083-43AB-823A-7D2710AF737C}"/>
                      </c:ext>
                    </c:extLst>
                  </c15:dLbl>
                </c15:categoryFilterException>
                <c15:categoryFilterException>
                  <c15:sqref>'5. SALUD'!$S$16</c15:sqref>
                  <c15:dLbl>
                    <c:idx val="1"/>
                    <c:layout>
                      <c:manualLayout>
                        <c:x val="0"/>
                        <c:y val="3.154392361111110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uri="{CE6537A1-D6FC-4f65-9D91-7224C49458BB}">
                        <c15:layout>
                          <c:manualLayout>
                            <c:w val="5.3151951832106421E-2"/>
                            <c:h val="6.3022816836109552E-2"/>
                          </c:manualLayout>
                        </c15:layout>
                      </c:ext>
                      <c:ext xmlns:c16="http://schemas.microsoft.com/office/drawing/2014/chart" uri="{C3380CC4-5D6E-409C-BE32-E72D297353CC}">
                        <c16:uniqueId val="{00000002-A083-43AB-823A-7D2710AF737C}"/>
                      </c:ext>
                    </c:extLst>
                  </c15:dLbl>
                </c15:categoryFilterException>
              </c15:categoryFilterExceptions>
            </c:ext>
            <c:ext xmlns:c16="http://schemas.microsoft.com/office/drawing/2014/chart" uri="{C3380CC4-5D6E-409C-BE32-E72D297353CC}">
              <c16:uniqueId val="{00000003-C542-4CF7-94DF-47158DA31D70}"/>
            </c:ext>
          </c:extLst>
        </c:ser>
        <c:dLbls>
          <c:showLegendKey val="0"/>
          <c:showVal val="0"/>
          <c:showCatName val="0"/>
          <c:showSerName val="0"/>
          <c:showPercent val="0"/>
          <c:showBubbleSize val="0"/>
        </c:dLbls>
        <c:gapWidth val="150"/>
        <c:axId val="1178732271"/>
        <c:axId val="1404224031"/>
      </c:barChart>
      <c:lineChart>
        <c:grouping val="standard"/>
        <c:varyColors val="0"/>
        <c:ser>
          <c:idx val="0"/>
          <c:order val="0"/>
          <c:tx>
            <c:strRef>
              <c:f>'5. SALUD'!$B$14</c:f>
              <c:strCache>
                <c:ptCount val="1"/>
                <c:pt idx="0">
                  <c:v>Hombres (%)</c:v>
                </c:pt>
              </c:strCache>
            </c:strRef>
          </c:tx>
          <c:spPr>
            <a:ln w="12700" cap="rnd">
              <a:solidFill>
                <a:schemeClr val="bg2">
                  <a:lumMod val="50000"/>
                </a:schemeClr>
              </a:solidFill>
              <a:round/>
            </a:ln>
            <a:effectLst/>
          </c:spPr>
          <c:marker>
            <c:symbol val="circle"/>
            <c:size val="5"/>
            <c:spPr>
              <a:solidFill>
                <a:schemeClr val="bg2">
                  <a:lumMod val="50000"/>
                </a:schemeClr>
              </a:solidFill>
              <a:ln w="9525">
                <a:noFill/>
              </a:ln>
              <a:effectLst/>
            </c:spPr>
          </c:marker>
          <c:cat>
            <c:numRef>
              <c:extLst>
                <c:ext xmlns:c15="http://schemas.microsoft.com/office/drawing/2012/chart" uri="{02D57815-91ED-43cb-92C2-25804820EDAC}">
                  <c15:fullRef>
                    <c15:sqref>'5. SALUD'!$D$12:$T$12</c15:sqref>
                  </c15:fullRef>
                </c:ext>
              </c:extLst>
              <c:f>('5. SALUD'!$L$12,'5. SALUD'!$P$12,'5. SALUD'!$T$12)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SALUD'!$D$14:$T$14</c15:sqref>
                  </c15:fullRef>
                </c:ext>
              </c:extLst>
              <c:f>('5. SALUD'!$L$14,'5. SALUD'!$P$14,'5. SALUD'!$T$14)</c:f>
              <c:numCache>
                <c:formatCode>General</c:formatCode>
                <c:ptCount val="3"/>
                <c:pt idx="0" formatCode="_-* #,##0.0_-;\-* #,##0.0_-;_-* &quot;-&quot;??_-;_-@_-">
                  <c:v>79.03</c:v>
                </c:pt>
                <c:pt idx="1" formatCode="_-* #,##0.0_-;\-* #,##0.0_-;_-* &quot;-&quot;??_-;_-@_-">
                  <c:v>77.400000000000006</c:v>
                </c:pt>
                <c:pt idx="2" formatCode="_-* #,##0.0_-;\-* #,##0.0_-;_-* &quot;-&quot;??_-;_-@_-">
                  <c:v>76.657148784648399</c:v>
                </c:pt>
              </c:numCache>
            </c:numRef>
          </c:val>
          <c:smooth val="0"/>
          <c:extLst>
            <c:ext xmlns:c16="http://schemas.microsoft.com/office/drawing/2014/chart" uri="{C3380CC4-5D6E-409C-BE32-E72D297353CC}">
              <c16:uniqueId val="{00000004-C542-4CF7-94DF-47158DA31D70}"/>
            </c:ext>
          </c:extLst>
        </c:ser>
        <c:ser>
          <c:idx val="1"/>
          <c:order val="1"/>
          <c:tx>
            <c:strRef>
              <c:f>'5. SALUD'!$B$15</c:f>
              <c:strCache>
                <c:ptCount val="1"/>
                <c:pt idx="0">
                  <c:v>Mujeres (%)</c:v>
                </c:pt>
              </c:strCache>
            </c:strRef>
          </c:tx>
          <c:spPr>
            <a:ln w="12700" cap="rnd">
              <a:solidFill>
                <a:srgbClr val="C00000"/>
              </a:solidFill>
              <a:round/>
            </a:ln>
            <a:effectLst/>
          </c:spPr>
          <c:marker>
            <c:symbol val="circle"/>
            <c:size val="5"/>
            <c:spPr>
              <a:solidFill>
                <a:srgbClr val="C00000"/>
              </a:solidFill>
              <a:ln w="9525">
                <a:noFill/>
              </a:ln>
              <a:effectLst/>
            </c:spPr>
          </c:marker>
          <c:cat>
            <c:numRef>
              <c:extLst>
                <c:ext xmlns:c15="http://schemas.microsoft.com/office/drawing/2012/chart" uri="{02D57815-91ED-43cb-92C2-25804820EDAC}">
                  <c15:fullRef>
                    <c15:sqref>'5. SALUD'!$D$12:$T$12</c15:sqref>
                  </c15:fullRef>
                </c:ext>
              </c:extLst>
              <c:f>('5. SALUD'!$L$12,'5. SALUD'!$P$12,'5. SALUD'!$T$12)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SALUD'!$D$15:$T$15</c15:sqref>
                  </c15:fullRef>
                </c:ext>
              </c:extLst>
              <c:f>('5. SALUD'!$L$15,'5. SALUD'!$P$15,'5. SALUD'!$T$15)</c:f>
              <c:numCache>
                <c:formatCode>General</c:formatCode>
                <c:ptCount val="3"/>
                <c:pt idx="0" formatCode="_-* #,##0.0_-;\-* #,##0.0_-;_-* &quot;-&quot;??_-;_-@_-">
                  <c:v>70.23</c:v>
                </c:pt>
                <c:pt idx="1" formatCode="_-* #,##0.0_-;\-* #,##0.0_-;_-* &quot;-&quot;??_-;_-@_-">
                  <c:v>68</c:v>
                </c:pt>
                <c:pt idx="2" formatCode="_-* #,##0.0_-;\-* #,##0.0_-;_-* &quot;-&quot;??_-;_-@_-">
                  <c:v>67.158967342521805</c:v>
                </c:pt>
              </c:numCache>
            </c:numRef>
          </c:val>
          <c:smooth val="0"/>
          <c:extLst>
            <c:ext xmlns:c16="http://schemas.microsoft.com/office/drawing/2014/chart" uri="{C3380CC4-5D6E-409C-BE32-E72D297353CC}">
              <c16:uniqueId val="{00000005-C542-4CF7-94DF-47158DA31D70}"/>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ax val="100"/>
          <c:min val="-4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5.4 Población que padece algún problema crónico de salud</a:t>
            </a:r>
          </a:p>
        </c:rich>
      </c:tx>
      <c:layout>
        <c:manualLayout>
          <c:xMode val="edge"/>
          <c:yMode val="edge"/>
          <c:x val="0.21910370585658076"/>
          <c:y val="3.284730271218995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'5. SALUD'!$B$21:$C$21</c:f>
              <c:strCache>
                <c:ptCount val="2"/>
                <c:pt idx="0">
                  <c:v>Brecha (punt.porc.)</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'5. SALUD'!$I$17:$T$17</c15:sqref>
                  </c15:fullRef>
                </c:ext>
              </c:extLst>
              <c:f>('5. SALUD'!$L$17,'5. SALUD'!$P$17,'5. SALUD'!$T$17)</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SALUD'!$I$21:$T$21</c15:sqref>
                  </c15:fullRef>
                </c:ext>
              </c:extLst>
              <c:f>('5. SALUD'!$L$21,'5. SALUD'!$P$21,'5. SALUD'!$T$21)</c:f>
              <c:numCache>
                <c:formatCode>#,##0.0</c:formatCode>
                <c:ptCount val="3"/>
                <c:pt idx="0">
                  <c:v>9.6700000000000017</c:v>
                </c:pt>
                <c:pt idx="1">
                  <c:v>9.9000000000000057</c:v>
                </c:pt>
                <c:pt idx="2">
                  <c:v>11.217875566510301</c:v>
                </c:pt>
              </c:numCache>
            </c:numRef>
          </c:val>
          <c:extLst>
            <c:ext xmlns:c16="http://schemas.microsoft.com/office/drawing/2014/chart" uri="{C3380CC4-5D6E-409C-BE32-E72D297353CC}">
              <c16:uniqueId val="{00000000-BB2D-49B8-BE7C-07809242254E}"/>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'5. SALUD'!$B$19:$C$19</c:f>
              <c:strCache>
                <c:ptCount val="2"/>
                <c:pt idx="0">
                  <c:v>Hombres (%)</c:v>
                </c:pt>
              </c:strCache>
            </c:strRef>
          </c:tx>
          <c:spPr>
            <a:ln w="12700" cap="rnd">
              <a:solidFill>
                <a:schemeClr val="bg2">
                  <a:lumMod val="50000"/>
                </a:schemeClr>
              </a:solidFill>
              <a:round/>
            </a:ln>
            <a:effectLst/>
          </c:spPr>
          <c:marker>
            <c:symbol val="circle"/>
            <c:size val="5"/>
            <c:spPr>
              <a:solidFill>
                <a:schemeClr val="bg2">
                  <a:lumMod val="50000"/>
                </a:schemeClr>
              </a:solidFill>
              <a:ln w="9525">
                <a:noFill/>
              </a:ln>
              <a:effectLst/>
            </c:spPr>
          </c:marker>
          <c:cat>
            <c:numRef>
              <c:extLst>
                <c:ext xmlns:c15="http://schemas.microsoft.com/office/drawing/2012/chart" uri="{02D57815-91ED-43cb-92C2-25804820EDAC}">
                  <c15:fullRef>
                    <c15:sqref>'5. SALUD'!$I$12:$T$12</c15:sqref>
                  </c15:fullRef>
                </c:ext>
              </c:extLst>
              <c:f>('5. SALUD'!$L$12,'5. SALUD'!$P$12,'5. SALUD'!$T$12)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SALUD'!$I$19:$T$19</c15:sqref>
                  </c15:fullRef>
                </c:ext>
              </c:extLst>
              <c:f>('5. SALUD'!$L$19,'5. SALUD'!$P$19,'5. SALUD'!$T$19)</c:f>
              <c:numCache>
                <c:formatCode>_-* #,##0.0_-;\-* #,##0.0_-;_-* "-"??_-;_-@_-</c:formatCode>
                <c:ptCount val="3"/>
                <c:pt idx="0">
                  <c:v>64.52</c:v>
                </c:pt>
                <c:pt idx="1">
                  <c:v>66.8</c:v>
                </c:pt>
                <c:pt idx="2">
                  <c:v>63.4147437745915</c:v>
                </c:pt>
              </c:numCache>
            </c:numRef>
          </c:val>
          <c:smooth val="0"/>
          <c:extLst>
            <c:ext xmlns:c16="http://schemas.microsoft.com/office/drawing/2014/chart" uri="{C3380CC4-5D6E-409C-BE32-E72D297353CC}">
              <c16:uniqueId val="{00000001-BB2D-49B8-BE7C-07809242254E}"/>
            </c:ext>
          </c:extLst>
        </c:ser>
        <c:ser>
          <c:idx val="1"/>
          <c:order val="1"/>
          <c:tx>
            <c:strRef>
              <c:f>'5. SALUD'!$B$20:$C$20</c:f>
              <c:strCache>
                <c:ptCount val="2"/>
                <c:pt idx="0">
                  <c:v>Mujeres (%)</c:v>
                </c:pt>
              </c:strCache>
            </c:strRef>
          </c:tx>
          <c:spPr>
            <a:ln w="12700" cap="rnd">
              <a:solidFill>
                <a:srgbClr val="C00000"/>
              </a:solidFill>
              <a:round/>
            </a:ln>
            <a:effectLst/>
          </c:spPr>
          <c:marker>
            <c:symbol val="circle"/>
            <c:size val="5"/>
            <c:spPr>
              <a:solidFill>
                <a:srgbClr val="C00000"/>
              </a:solidFill>
              <a:ln w="9525">
                <a:noFill/>
              </a:ln>
              <a:effectLst/>
            </c:spPr>
          </c:marker>
          <c:cat>
            <c:numRef>
              <c:extLst>
                <c:ext xmlns:c15="http://schemas.microsoft.com/office/drawing/2012/chart" uri="{02D57815-91ED-43cb-92C2-25804820EDAC}">
                  <c15:fullRef>
                    <c15:sqref>'5. SALUD'!$I$12:$T$12</c15:sqref>
                  </c15:fullRef>
                </c:ext>
              </c:extLst>
              <c:f>('5. SALUD'!$L$12,'5. SALUD'!$P$12,'5. SALUD'!$T$12)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SALUD'!$I$20:$T$20</c15:sqref>
                  </c15:fullRef>
                </c:ext>
              </c:extLst>
              <c:f>('5. SALUD'!$L$20,'5. SALUD'!$P$20,'5. SALUD'!$T$20)</c:f>
              <c:numCache>
                <c:formatCode>_-* #,##0.0_-;\-* #,##0.0_-;_-* "-"??_-;_-@_-</c:formatCode>
                <c:ptCount val="3"/>
                <c:pt idx="0">
                  <c:v>74.19</c:v>
                </c:pt>
                <c:pt idx="1">
                  <c:v>76.7</c:v>
                </c:pt>
                <c:pt idx="2">
                  <c:v>74.632619341101801</c:v>
                </c:pt>
              </c:numCache>
            </c:numRef>
          </c:val>
          <c:smooth val="0"/>
          <c:extLst>
            <c:ext xmlns:c16="http://schemas.microsoft.com/office/drawing/2014/chart" uri="{C3380CC4-5D6E-409C-BE32-E72D297353CC}">
              <c16:uniqueId val="{00000002-BB2D-49B8-BE7C-07809242254E}"/>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ax val="10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layout>
        <c:manualLayout>
          <c:xMode val="edge"/>
          <c:yMode val="edge"/>
          <c:x val="0.23432170224798063"/>
          <c:y val="0.90472867345088259"/>
          <c:w val="0.52995454953100252"/>
          <c:h val="7.02822551685893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ysClr val="windowText" lastClr="000000"/>
                </a:solidFill>
              </a:rPr>
              <a:t>1.3 Valoración media de la existencia de desigualdad de oportunidades entre mujeres y hombres</a:t>
            </a:r>
          </a:p>
        </c:rich>
      </c:tx>
      <c:layout>
        <c:manualLayout>
          <c:xMode val="edge"/>
          <c:yMode val="edge"/>
          <c:x val="0.16954412698412694"/>
          <c:y val="3.65251633986928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3"/>
          <c:order val="3"/>
          <c:tx>
            <c:strRef>
              <c:f>'1.SITUACIÓN GLOBAL'!$C$18</c:f>
              <c:strCache>
                <c:ptCount val="1"/>
                <c:pt idx="0">
                  <c:v>Diferencia</c:v>
                </c:pt>
              </c:strCache>
            </c:strRef>
          </c:tx>
          <c:spPr>
            <a:solidFill>
              <a:srgbClr val="FF5050">
                <a:alpha val="69804"/>
              </a:srgbClr>
            </a:solidFill>
            <a:ln>
              <a:solidFill>
                <a:srgbClr val="FF5050">
                  <a:alpha val="69804"/>
                </a:srgb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FB-4E58-BF24-620CA02C432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FB-4E58-BF24-620CA02C432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4-49BB-9946-D2214A892288}"/>
                </c:ext>
              </c:extLst>
            </c:dLbl>
            <c:spPr>
              <a:solidFill>
                <a:schemeClr val="accent3">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GLOBAL'!$S$10:$T$10</c:f>
              <c:numCache>
                <c:formatCode>General</c:formatCode>
                <c:ptCount val="2"/>
                <c:pt idx="0">
                  <c:v>2021</c:v>
                </c:pt>
                <c:pt idx="1">
                  <c:v>2022</c:v>
                </c:pt>
              </c:numCache>
              <c:extLst/>
            </c:numRef>
          </c:cat>
          <c:val>
            <c:numRef>
              <c:f>'1.SITUACIÓN GLOBAL'!$S$18:$U$18</c:f>
              <c:numCache>
                <c:formatCode>0.0</c:formatCode>
                <c:ptCount val="3"/>
                <c:pt idx="0">
                  <c:v>0.70000000000000018</c:v>
                </c:pt>
                <c:pt idx="1">
                  <c:v>0.70000000000000018</c:v>
                </c:pt>
                <c:pt idx="2">
                  <c:v>1.1000000000000005</c:v>
                </c:pt>
              </c:numCache>
              <c:extLst/>
            </c:numRef>
          </c:val>
          <c:extLst>
            <c:ext xmlns:c16="http://schemas.microsoft.com/office/drawing/2014/chart" uri="{C3380CC4-5D6E-409C-BE32-E72D297353CC}">
              <c16:uniqueId val="{00000002-A9FB-4E58-BF24-620CA02C4326}"/>
            </c:ext>
          </c:extLst>
        </c:ser>
        <c:dLbls>
          <c:showLegendKey val="0"/>
          <c:showVal val="0"/>
          <c:showCatName val="0"/>
          <c:showSerName val="0"/>
          <c:showPercent val="0"/>
          <c:showBubbleSize val="0"/>
        </c:dLbls>
        <c:gapWidth val="400"/>
        <c:axId val="1129870319"/>
        <c:axId val="1453992815"/>
      </c:barChart>
      <c:lineChart>
        <c:grouping val="standard"/>
        <c:varyColors val="0"/>
        <c:ser>
          <c:idx val="2"/>
          <c:order val="2"/>
          <c:tx>
            <c:strRef>
              <c:f>'1.SITUACIÓN GLOBAL'!$C$17</c:f>
              <c:strCache>
                <c:ptCount val="1"/>
                <c:pt idx="0">
                  <c:v>Mujeres</c:v>
                </c:pt>
              </c:strCache>
            </c:strRef>
          </c:tx>
          <c:spPr>
            <a:ln w="19050" cap="rnd">
              <a:solidFill>
                <a:srgbClr val="C00000"/>
              </a:solidFill>
              <a:round/>
            </a:ln>
            <a:effectLst/>
          </c:spPr>
          <c:marker>
            <c:symbol val="circle"/>
            <c:size val="5"/>
            <c:spPr>
              <a:solidFill>
                <a:srgbClr val="C0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GLOBAL'!$S$10:$U$10</c:f>
              <c:numCache>
                <c:formatCode>General</c:formatCode>
                <c:ptCount val="3"/>
                <c:pt idx="0">
                  <c:v>2021</c:v>
                </c:pt>
                <c:pt idx="1">
                  <c:v>2022</c:v>
                </c:pt>
                <c:pt idx="2">
                  <c:v>2023</c:v>
                </c:pt>
              </c:numCache>
            </c:numRef>
          </c:cat>
          <c:val>
            <c:numRef>
              <c:f>'1.SITUACIÓN GLOBAL'!$S$17:$U$17</c:f>
              <c:numCache>
                <c:formatCode>General</c:formatCode>
                <c:ptCount val="3"/>
                <c:pt idx="0">
                  <c:v>5.7</c:v>
                </c:pt>
                <c:pt idx="1">
                  <c:v>5.7</c:v>
                </c:pt>
                <c:pt idx="2">
                  <c:v>5.4</c:v>
                </c:pt>
              </c:numCache>
              <c:extLst/>
            </c:numRef>
          </c:val>
          <c:smooth val="0"/>
          <c:extLst>
            <c:ext xmlns:c16="http://schemas.microsoft.com/office/drawing/2014/chart" uri="{C3380CC4-5D6E-409C-BE32-E72D297353CC}">
              <c16:uniqueId val="{00000003-A9FB-4E58-BF24-620CA02C4326}"/>
            </c:ext>
          </c:extLst>
        </c:ser>
        <c:ser>
          <c:idx val="1"/>
          <c:order val="1"/>
          <c:tx>
            <c:strRef>
              <c:f>'1.SITUACIÓN GLOBAL'!$C$16</c:f>
              <c:strCache>
                <c:ptCount val="1"/>
                <c:pt idx="0">
                  <c:v>Hombres</c:v>
                </c:pt>
              </c:strCache>
            </c:strRef>
          </c:tx>
          <c:spPr>
            <a:ln w="19050" cap="rnd">
              <a:solidFill>
                <a:schemeClr val="bg2">
                  <a:lumMod val="50000"/>
                </a:schemeClr>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'1.SITUACIÓN GLOBAL'!$S$10:$U$10</c:f>
              <c:numCache>
                <c:formatCode>General</c:formatCode>
                <c:ptCount val="3"/>
                <c:pt idx="0">
                  <c:v>2021</c:v>
                </c:pt>
                <c:pt idx="1">
                  <c:v>2022</c:v>
                </c:pt>
                <c:pt idx="2">
                  <c:v>2023</c:v>
                </c:pt>
              </c:numCache>
            </c:numRef>
          </c:cat>
          <c:val>
            <c:numRef>
              <c:f>'1.SITUACIÓN GLOBAL'!$S$16:$U$16</c:f>
              <c:numCache>
                <c:formatCode>0.0</c:formatCode>
                <c:ptCount val="3"/>
                <c:pt idx="0">
                  <c:v>5</c:v>
                </c:pt>
                <c:pt idx="1">
                  <c:v>5</c:v>
                </c:pt>
                <c:pt idx="2">
                  <c:v>4.3</c:v>
                </c:pt>
              </c:numCache>
              <c:extLst/>
            </c:numRef>
          </c:val>
          <c:smooth val="0"/>
          <c:extLst>
            <c:ext xmlns:c16="http://schemas.microsoft.com/office/drawing/2014/chart" uri="{C3380CC4-5D6E-409C-BE32-E72D297353CC}">
              <c16:uniqueId val="{00000004-A9FB-4E58-BF24-620CA02C4326}"/>
            </c:ext>
          </c:extLst>
        </c:ser>
        <c:dLbls>
          <c:showLegendKey val="0"/>
          <c:showVal val="0"/>
          <c:showCatName val="0"/>
          <c:showSerName val="0"/>
          <c:showPercent val="0"/>
          <c:showBubbleSize val="0"/>
        </c:dLbls>
        <c:marker val="1"/>
        <c:smooth val="0"/>
        <c:axId val="1249634351"/>
        <c:axId val="1209254047"/>
        <c:extLst>
          <c:ext xmlns:c15="http://schemas.microsoft.com/office/drawing/2012/chart" uri="{02D57815-91ED-43cb-92C2-25804820EDAC}">
            <c15:filteredLineSeries>
              <c15:ser>
                <c:idx val="0"/>
                <c:order val="0"/>
                <c:tx>
                  <c:strRef>
                    <c:extLst>
                      <c:ext uri="{02D57815-91ED-43cb-92C2-25804820EDAC}">
                        <c15:formulaRef>
                          <c15:sqref>'1.SITUACIÓN GLOBAL'!$C$15</c15:sqref>
                        </c15:formulaRef>
                      </c:ext>
                    </c:extLst>
                    <c:strCache>
                      <c:ptCount val="1"/>
                      <c:pt idx="0">
                        <c:v>Ambos Sexos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'1.SITUACIÓN GLOBAL'!$S$10:$U$10</c15:sqref>
                        </c15:formulaRef>
                      </c:ext>
                    </c:extLst>
                    <c:numCache>
                      <c:formatCode>General</c:formatCode>
                      <c:ptCount val="3"/>
                      <c:pt idx="0">
                        <c:v>2021</c:v>
                      </c:pt>
                      <c:pt idx="1">
                        <c:v>2022</c:v>
                      </c:pt>
                      <c:pt idx="2">
                        <c:v>2023</c:v>
                      </c:pt>
                    </c:numCache>
                  </c:numRef>
                </c:cat>
                <c:val>
                  <c:numRef>
                    <c:extLst>
                      <c:ext uri="{02D57815-91ED-43cb-92C2-25804820EDAC}">
                        <c15:formulaRef>
                          <c15:sqref>'1.SITUACIÓN GLOBAL'!$S$15:$U$15</c15:sqref>
                        </c15:formulaRef>
                      </c:ext>
                    </c:extLst>
                    <c:numCache>
                      <c:formatCode>General</c:formatCode>
                      <c:ptCount val="3"/>
                      <c:pt idx="0">
                        <c:v>5.4</c:v>
                      </c:pt>
                    </c:numCache>
                  </c:numRef>
                </c:val>
                <c:smooth val="0"/>
                <c:extLst>
                  <c:ext xmlns:c16="http://schemas.microsoft.com/office/drawing/2014/chart" uri="{C3380CC4-5D6E-409C-BE32-E72D297353CC}">
                    <c16:uniqueId val="{00000005-A9FB-4E58-BF24-620CA02C4326}"/>
                  </c:ext>
                </c:extLst>
              </c15:ser>
            </c15:filteredLineSeries>
          </c:ext>
        </c:extLst>
      </c:lineChart>
      <c:catAx>
        <c:axId val="1249634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S"/>
          </a:p>
        </c:txPr>
        <c:crossAx val="1209254047"/>
        <c:crosses val="autoZero"/>
        <c:auto val="1"/>
        <c:lblAlgn val="ctr"/>
        <c:lblOffset val="100"/>
        <c:noMultiLvlLbl val="0"/>
      </c:catAx>
      <c:valAx>
        <c:axId val="1209254047"/>
        <c:scaling>
          <c:orientation val="minMax"/>
          <c:max val="1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49634351"/>
        <c:crosses val="autoZero"/>
        <c:crossBetween val="between"/>
        <c:majorUnit val="2"/>
      </c:valAx>
      <c:valAx>
        <c:axId val="1453992815"/>
        <c:scaling>
          <c:orientation val="minMax"/>
          <c:max val="10"/>
        </c:scaling>
        <c:delete val="1"/>
        <c:axPos val="r"/>
        <c:numFmt formatCode="0.0" sourceLinked="1"/>
        <c:majorTickMark val="out"/>
        <c:minorTickMark val="none"/>
        <c:tickLblPos val="nextTo"/>
        <c:crossAx val="1129870319"/>
        <c:crosses val="max"/>
        <c:crossBetween val="between"/>
      </c:valAx>
      <c:catAx>
        <c:axId val="1129870319"/>
        <c:scaling>
          <c:orientation val="minMax"/>
        </c:scaling>
        <c:delete val="1"/>
        <c:axPos val="b"/>
        <c:numFmt formatCode="General" sourceLinked="1"/>
        <c:majorTickMark val="out"/>
        <c:minorTickMark val="none"/>
        <c:tickLblPos val="nextTo"/>
        <c:crossAx val="1453992815"/>
        <c:crosses val="autoZero"/>
        <c:auto val="1"/>
        <c:lblAlgn val="ctr"/>
        <c:lblOffset val="100"/>
        <c:noMultiLvlLbl val="0"/>
      </c:catAx>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5.5 Población con riesgo de mala salud mental</a:t>
            </a:r>
          </a:p>
        </c:rich>
      </c:tx>
      <c:layout>
        <c:manualLayout>
          <c:xMode val="edge"/>
          <c:yMode val="edge"/>
          <c:x val="0.28962039153765068"/>
          <c:y val="3.284730271218995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'5. SALUD'!$B$26:$C$26</c:f>
              <c:strCache>
                <c:ptCount val="2"/>
                <c:pt idx="0">
                  <c:v>Brecha (punt.porc.)</c:v>
                </c:pt>
              </c:strCache>
            </c:strRef>
          </c:tx>
          <c:spPr>
            <a:solidFill>
              <a:srgbClr val="FF8989">
                <a:alpha val="80000"/>
              </a:srgbClr>
            </a:solidFill>
            <a:ln>
              <a:noFill/>
            </a:ln>
            <a:effectLst/>
          </c:spPr>
          <c:invertIfNegative val="0"/>
          <c:dLbls>
            <c:dLbl>
              <c:idx val="0"/>
              <c:layout>
                <c:manualLayout>
                  <c:x val="0"/>
                  <c:y val="2.0824226150440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FB-43D2-BA78-2793C9093D45}"/>
                </c:ext>
              </c:extLst>
            </c:dLbl>
            <c:dLbl>
              <c:idx val="1"/>
              <c:layout>
                <c:manualLayout>
                  <c:x val="-8.0843973490926958E-17"/>
                  <c:y val="2.0824226150440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FB-43D2-BA78-2793C9093D45}"/>
                </c:ext>
              </c:extLst>
            </c:dLbl>
            <c:dLbl>
              <c:idx val="2"/>
              <c:layout>
                <c:manualLayout>
                  <c:x val="-1.6168794698185392E-16"/>
                  <c:y val="1.6659380920352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FB-43D2-BA78-2793C9093D4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'5. SALUD'!$D$22:$T$22</c15:sqref>
                  </c15:fullRef>
                </c:ext>
              </c:extLst>
              <c:f>('5. SALUD'!$L$22,'5. SALUD'!$P$22,'5. SALUD'!$T$22)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SALUD'!$D$26:$T$26</c15:sqref>
                  </c15:fullRef>
                </c:ext>
              </c:extLst>
              <c:f>('5. SALUD'!$L$26,'5. SALUD'!$P$26,'5. SALUD'!$T$26)</c:f>
              <c:numCache>
                <c:formatCode>#,##0.0</c:formatCode>
                <c:ptCount val="3"/>
                <c:pt idx="0">
                  <c:v>8.7000000000000011</c:v>
                </c:pt>
                <c:pt idx="1">
                  <c:v>7.9000000000000021</c:v>
                </c:pt>
                <c:pt idx="2">
                  <c:v>11.234278693877204</c:v>
                </c:pt>
              </c:numCache>
            </c:numRef>
          </c:val>
          <c:extLst>
            <c:ext xmlns:c15="http://schemas.microsoft.com/office/drawing/2012/chart" uri="{02D57815-91ED-43cb-92C2-25804820EDAC}">
              <c15:categoryFilterExceptions>
                <c15:categoryFilterException>
                  <c15:sqref>'5. SALUD'!$D$26</c15:sqref>
                  <c15:dLbl>
                    <c:idx val="-1"/>
                    <c:layout>
                      <c:manualLayout>
                        <c:x val="-5.7170015002367694E-2"/>
                        <c:y val="8.4922992565894719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42F1-4FD3-AC71-6805F82DB77B}"/>
                      </c:ext>
                    </c:extLst>
                  </c15:dLbl>
                </c15:categoryFilterException>
                <c15:categoryFilterException>
                  <c15:sqref>'5. SALUD'!$I$26</c15:sqref>
                  <c15:dLbl>
                    <c:idx val="-1"/>
                    <c:layout>
                      <c:manualLayout>
                        <c:x val="0"/>
                        <c:y val="1.6984598513178868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42F1-4FD3-AC71-6805F82DB77B}"/>
                      </c:ext>
                    </c:extLst>
                  </c15:dLbl>
                </c15:categoryFilterException>
                <c15:categoryFilterException>
                  <c15:sqref>'5. SALUD'!$N$26</c15:sqref>
                  <c15:dLbl>
                    <c:idx val="0"/>
                    <c:layout>
                      <c:manualLayout>
                        <c:x val="8.0623448762584155E-17"/>
                        <c:y val="1.273844888488420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42F1-4FD3-AC71-6805F82DB77B}"/>
                      </c:ext>
                    </c:extLst>
                  </c15:dLbl>
                </c15:categoryFilterException>
                <c15:categoryFilterException>
                  <c15:sqref>'5. SALUD'!$S$26</c15:sqref>
                  <c15:dLbl>
                    <c:idx val="1"/>
                    <c:layout>
                      <c:manualLayout>
                        <c:x val="0"/>
                        <c:y val="1.273844888488420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42F1-4FD3-AC71-6805F82DB77B}"/>
                      </c:ext>
                    </c:extLst>
                  </c15:dLbl>
                </c15:categoryFilterException>
              </c15:categoryFilterExceptions>
            </c:ext>
            <c:ext xmlns:c16="http://schemas.microsoft.com/office/drawing/2014/chart" uri="{C3380CC4-5D6E-409C-BE32-E72D297353CC}">
              <c16:uniqueId val="{00000004-B3FB-43D2-BA78-2793C9093D45}"/>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'5. SALUD'!$B$24:$C$24</c:f>
              <c:strCache>
                <c:ptCount val="2"/>
                <c:pt idx="0">
                  <c:v>Hombres (%)</c:v>
                </c:pt>
              </c:strCache>
            </c:strRef>
          </c:tx>
          <c:spPr>
            <a:ln w="1270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'5. SALUD'!$D$22:$T$22</c15:sqref>
                  </c15:fullRef>
                </c:ext>
              </c:extLst>
              <c:f>('5. SALUD'!$L$22,'5. SALUD'!$P$22,'5. SALUD'!$T$22)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SALUD'!$D$24:$T$24</c15:sqref>
                  </c15:fullRef>
                </c:ext>
              </c:extLst>
              <c:f>('5. SALUD'!$L$24,'5. SALUD'!$P$24,'5. SALUD'!$T$24)</c:f>
              <c:numCache>
                <c:formatCode>General</c:formatCode>
                <c:ptCount val="3"/>
                <c:pt idx="0" formatCode="_-* #,##0.0_-;\-* #,##0.0_-;_-* &quot;-&quot;??_-;_-@_-">
                  <c:v>14.9</c:v>
                </c:pt>
                <c:pt idx="1" formatCode="_-* #,##0.0_-;\-* #,##0.0_-;_-* &quot;-&quot;??_-;_-@_-">
                  <c:v>16.7</c:v>
                </c:pt>
                <c:pt idx="2" formatCode="_-* #,##0.0_-;\-* #,##0.0_-;_-* &quot;-&quot;??_-;_-@_-">
                  <c:v>18.458815844800885</c:v>
                </c:pt>
              </c:numCache>
            </c:numRef>
          </c:val>
          <c:smooth val="0"/>
          <c:extLst>
            <c:ext xmlns:c16="http://schemas.microsoft.com/office/drawing/2014/chart" uri="{C3380CC4-5D6E-409C-BE32-E72D297353CC}">
              <c16:uniqueId val="{00000005-B3FB-43D2-BA78-2793C9093D45}"/>
            </c:ext>
          </c:extLst>
        </c:ser>
        <c:ser>
          <c:idx val="1"/>
          <c:order val="1"/>
          <c:tx>
            <c:strRef>
              <c:f>'5. SALUD'!$B$25:$C$25</c:f>
              <c:strCache>
                <c:ptCount val="2"/>
                <c:pt idx="0">
                  <c:v>Mujeres (%)</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'5. SALUD'!$D$22:$T$22</c15:sqref>
                  </c15:fullRef>
                </c:ext>
              </c:extLst>
              <c:f>('5. SALUD'!$L$22,'5. SALUD'!$P$22,'5. SALUD'!$T$22)</c:f>
              <c:numCache>
                <c:formatCode>General</c:formatCode>
                <c:ptCount val="3"/>
                <c:pt idx="0">
                  <c:v>2013</c:v>
                </c:pt>
                <c:pt idx="1">
                  <c:v>2017</c:v>
                </c:pt>
                <c:pt idx="2">
                  <c:v>2021</c:v>
                </c:pt>
              </c:numCache>
            </c:numRef>
          </c:cat>
          <c:val>
            <c:numRef>
              <c:extLst>
                <c:ext xmlns:c15="http://schemas.microsoft.com/office/drawing/2012/chart" uri="{02D57815-91ED-43cb-92C2-25804820EDAC}">
                  <c15:fullRef>
                    <c15:sqref>'5. SALUD'!$D$25:$T$25</c15:sqref>
                  </c15:fullRef>
                </c:ext>
              </c:extLst>
              <c:f>('5. SALUD'!$L$25,'5. SALUD'!$P$25,'5. SALUD'!$T$25)</c:f>
              <c:numCache>
                <c:formatCode>General</c:formatCode>
                <c:ptCount val="3"/>
                <c:pt idx="0" formatCode="_-* #,##0.0_-;\-* #,##0.0_-;_-* &quot;-&quot;??_-;_-@_-">
                  <c:v>23.6</c:v>
                </c:pt>
                <c:pt idx="1" formatCode="_-* #,##0.0_-;\-* #,##0.0_-;_-* &quot;-&quot;??_-;_-@_-">
                  <c:v>24.6</c:v>
                </c:pt>
                <c:pt idx="2" formatCode="_-* #,##0.0_-;\-* #,##0.0_-;_-* &quot;-&quot;??_-;_-@_-">
                  <c:v>29.693094538678089</c:v>
                </c:pt>
              </c:numCache>
            </c:numRef>
          </c:val>
          <c:smooth val="0"/>
          <c:extLst>
            <c:ext xmlns:c16="http://schemas.microsoft.com/office/drawing/2014/chart" uri="{C3380CC4-5D6E-409C-BE32-E72D297353CC}">
              <c16:uniqueId val="{00000006-B3FB-43D2-BA78-2793C9093D45}"/>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layout>
        <c:manualLayout>
          <c:xMode val="edge"/>
          <c:yMode val="edge"/>
          <c:x val="0.38074845974858768"/>
          <c:y val="0.90058833130926552"/>
          <c:w val="0.59187589943577257"/>
          <c:h val="7.33366115360569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5.6 Personas con discapacidad reconocida</a:t>
            </a:r>
          </a:p>
        </c:rich>
      </c:tx>
      <c:layout>
        <c:manualLayout>
          <c:xMode val="edge"/>
          <c:yMode val="edge"/>
          <c:x val="0.28962039153765068"/>
          <c:y val="3.284730271218995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'5. SALUD'!$B$31:$C$31</c:f>
              <c:strCache>
                <c:ptCount val="2"/>
                <c:pt idx="0">
                  <c:v>% mujeres</c:v>
                </c:pt>
              </c:strCache>
            </c:strRef>
          </c:tx>
          <c:spPr>
            <a:solidFill>
              <a:srgbClr val="FF898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('5. SALUD'!$N$27,'5. SALUD'!$S$27,'5. SALUD'!$T$27,'5. SALUD'!$U$27)</c15:sqref>
                  </c15:fullRef>
                </c:ext>
              </c:extLst>
              <c:f>('5. SALUD'!$S$27,'5. SALUD'!$T$27,'5. SALUD'!$U$27)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('5. SALUD'!$N$31,'5. SALUD'!$S$31,'5. SALUD'!$T$31,'5. SALUD'!$U$31)</c15:sqref>
                  </c15:fullRef>
                </c:ext>
              </c:extLst>
              <c:f>('5. SALUD'!$S$31,'5. SALUD'!$T$31,'5. SALUD'!$U$31)</c:f>
              <c:numCache>
                <c:formatCode>_-* #,##0.0_-;\-* #,##0.0_-;_-* "-"??_-;_-@_-</c:formatCode>
                <c:ptCount val="3"/>
                <c:pt idx="0">
                  <c:v>52.177031880373981</c:v>
                </c:pt>
                <c:pt idx="1">
                  <c:v>52.247013553870893</c:v>
                </c:pt>
                <c:pt idx="2">
                  <c:v>52.324587483276353</c:v>
                </c:pt>
              </c:numCache>
            </c:numRef>
          </c:val>
          <c:extLst>
            <c:ext xmlns:c16="http://schemas.microsoft.com/office/drawing/2014/chart" uri="{C3380CC4-5D6E-409C-BE32-E72D297353CC}">
              <c16:uniqueId val="{00000006-F5E5-4DB0-8659-80C3DCB464D4}"/>
            </c:ext>
          </c:extLst>
        </c:ser>
        <c:dLbls>
          <c:showLegendKey val="0"/>
          <c:showVal val="0"/>
          <c:showCatName val="0"/>
          <c:showSerName val="0"/>
          <c:showPercent val="0"/>
          <c:showBubbleSize val="0"/>
        </c:dLbls>
        <c:gapWidth val="219"/>
        <c:axId val="828159096"/>
        <c:axId val="828158016"/>
      </c:barChart>
      <c:lineChart>
        <c:grouping val="standard"/>
        <c:varyColors val="0"/>
        <c:ser>
          <c:idx val="0"/>
          <c:order val="0"/>
          <c:tx>
            <c:strRef>
              <c:f>'5. SALUD'!$B$29:$C$29</c:f>
              <c:strCache>
                <c:ptCount val="2"/>
                <c:pt idx="0">
                  <c:v>Hombres (N)</c:v>
                </c:pt>
              </c:strCache>
            </c:strRef>
          </c:tx>
          <c:spPr>
            <a:ln w="1270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('5. SALUD'!$N$27,'5. SALUD'!$S$27:$U$27)</c15:sqref>
                  </c15:fullRef>
                </c:ext>
              </c:extLst>
              <c:f>'5. SALUD'!$S$27:$U$27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('5. SALUD'!$N$29,'5. SALUD'!$S$29,'5. SALUD'!$T$29,'5. SALUD'!$U$29)</c15:sqref>
                  </c15:fullRef>
                </c:ext>
              </c:extLst>
              <c:f>('5. SALUD'!$S$29,'5. SALUD'!$T$29,'5. SALUD'!$U$29)</c:f>
              <c:numCache>
                <c:formatCode>#,##0</c:formatCode>
                <c:ptCount val="3"/>
                <c:pt idx="0">
                  <c:v>99335</c:v>
                </c:pt>
                <c:pt idx="1">
                  <c:v>99777</c:v>
                </c:pt>
                <c:pt idx="2">
                  <c:v>102628</c:v>
                </c:pt>
              </c:numCache>
            </c:numRef>
          </c:val>
          <c:smooth val="0"/>
          <c:extLst>
            <c:ext xmlns:c16="http://schemas.microsoft.com/office/drawing/2014/chart" uri="{C3380CC4-5D6E-409C-BE32-E72D297353CC}">
              <c16:uniqueId val="{00000007-F5E5-4DB0-8659-80C3DCB464D4}"/>
            </c:ext>
          </c:extLst>
        </c:ser>
        <c:ser>
          <c:idx val="1"/>
          <c:order val="1"/>
          <c:tx>
            <c:strRef>
              <c:f>'5. SALUD'!$B$30:$C$30</c:f>
              <c:strCache>
                <c:ptCount val="2"/>
                <c:pt idx="0">
                  <c:v>Mujeres (N)</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numRef>
              <c:extLst>
                <c:ext xmlns:c15="http://schemas.microsoft.com/office/drawing/2012/chart" uri="{02D57815-91ED-43cb-92C2-25804820EDAC}">
                  <c15:fullRef>
                    <c15:sqref>('5. SALUD'!$N$27,'5. SALUD'!$S$27:$U$27)</c15:sqref>
                  </c15:fullRef>
                </c:ext>
              </c:extLst>
              <c:f>'5. SALUD'!$S$27:$U$27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('5. SALUD'!$N$30,'5. SALUD'!$S$30,'5. SALUD'!$T$30,'5. SALUD'!$U$30)</c15:sqref>
                  </c15:fullRef>
                </c:ext>
              </c:extLst>
              <c:f>('5. SALUD'!$S$30,'5. SALUD'!$T$30,'5. SALUD'!$U$30)</c:f>
              <c:numCache>
                <c:formatCode>#,##0</c:formatCode>
                <c:ptCount val="3"/>
                <c:pt idx="0">
                  <c:v>108379</c:v>
                </c:pt>
                <c:pt idx="1">
                  <c:v>109167</c:v>
                </c:pt>
                <c:pt idx="2">
                  <c:v>112636</c:v>
                </c:pt>
              </c:numCache>
            </c:numRef>
          </c:val>
          <c:smooth val="0"/>
          <c:extLst>
            <c:ext xmlns:c16="http://schemas.microsoft.com/office/drawing/2014/chart" uri="{C3380CC4-5D6E-409C-BE32-E72D297353CC}">
              <c16:uniqueId val="{00000008-F5E5-4DB0-8659-80C3DCB464D4}"/>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valAx>
        <c:axId val="828158016"/>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8159096"/>
        <c:crosses val="max"/>
        <c:crossBetween val="between"/>
      </c:valAx>
      <c:catAx>
        <c:axId val="828159096"/>
        <c:scaling>
          <c:orientation val="minMax"/>
        </c:scaling>
        <c:delete val="1"/>
        <c:axPos val="b"/>
        <c:numFmt formatCode="General" sourceLinked="1"/>
        <c:majorTickMark val="out"/>
        <c:minorTickMark val="none"/>
        <c:tickLblPos val="nextTo"/>
        <c:crossAx val="82815801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r>
              <a:rPr lang="it-IT" sz="1200" b="1" i="0" u="none" strike="noStrike" kern="1200" spc="0" baseline="0">
                <a:solidFill>
                  <a:sysClr val="windowText" lastClr="000000">
                    <a:lumMod val="65000"/>
                    <a:lumOff val="35000"/>
                  </a:sysClr>
                </a:solidFill>
                <a:latin typeface="+mn-lt"/>
                <a:ea typeface="+mn-ea"/>
                <a:cs typeface="+mn-cs"/>
              </a:rPr>
              <a:t>6.3 Porcentaje de la población ocupada a tiempo parcial por cuidado de niños/as, adultos/as enfermos/as, incapacitados/as o mayores</a:t>
            </a:r>
          </a:p>
        </c:rich>
      </c:tx>
      <c:layout>
        <c:manualLayout>
          <c:xMode val="edge"/>
          <c:yMode val="edge"/>
          <c:x val="0.10802605659239048"/>
          <c:y val="2.3813390934476483E-2"/>
        </c:manualLayout>
      </c:layout>
      <c:overlay val="0"/>
      <c:spPr>
        <a:noFill/>
        <a:ln>
          <a:noFill/>
        </a:ln>
        <a:effectLst/>
      </c:spPr>
      <c:txPr>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manualLayout>
          <c:layoutTarget val="inner"/>
          <c:xMode val="edge"/>
          <c:yMode val="edge"/>
          <c:x val="0.18629274360464859"/>
          <c:y val="0.20108461001227376"/>
          <c:w val="0.79076097713371241"/>
          <c:h val="0.44048949415213612"/>
        </c:manualLayout>
      </c:layout>
      <c:barChart>
        <c:barDir val="col"/>
        <c:grouping val="stacked"/>
        <c:varyColors val="0"/>
        <c:ser>
          <c:idx val="2"/>
          <c:order val="2"/>
          <c:tx>
            <c:strRef>
              <c:f>'6. CUIDADOS'!$C$56:$D$56</c:f>
              <c:strCache>
                <c:ptCount val="2"/>
                <c:pt idx="0">
                  <c:v>Brecha (punt.porc.)</c:v>
                </c:pt>
              </c:strCache>
            </c:strRef>
          </c:tx>
          <c:spPr>
            <a:solidFill>
              <a:srgbClr val="FF8989">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 CUIDADOS'!$E$52,'6. CUIDADOS'!$J$52,'6. CUIDADOS'!$O$52,'6. CUIDADOS'!$T$52,'6. CUIDADOS'!$U$52,'6. CUIDADOS'!$V$52,'6. CUIDADOS'!$W$52)</c:f>
              <c:numCache>
                <c:formatCode>General</c:formatCode>
                <c:ptCount val="7"/>
                <c:pt idx="0">
                  <c:v>2005</c:v>
                </c:pt>
                <c:pt idx="1">
                  <c:v>2010</c:v>
                </c:pt>
                <c:pt idx="2">
                  <c:v>2015</c:v>
                </c:pt>
                <c:pt idx="3">
                  <c:v>2020</c:v>
                </c:pt>
                <c:pt idx="4">
                  <c:v>2021</c:v>
                </c:pt>
                <c:pt idx="5">
                  <c:v>2022</c:v>
                </c:pt>
                <c:pt idx="6">
                  <c:v>2023</c:v>
                </c:pt>
              </c:numCache>
            </c:numRef>
          </c:cat>
          <c:val>
            <c:numRef>
              <c:f>('6. CUIDADOS'!$E$56,'6. CUIDADOS'!$J$56,'6. CUIDADOS'!$O$56,'6. CUIDADOS'!$T$56,'6. CUIDADOS'!$U$56,'6. CUIDADOS'!$V$56,'6. CUIDADOS'!$W$56,'6. CUIDADOS'!$X$56)</c:f>
              <c:numCache>
                <c:formatCode>0.0</c:formatCode>
                <c:ptCount val="8"/>
                <c:pt idx="0">
                  <c:v>11.300972436816201</c:v>
                </c:pt>
                <c:pt idx="1">
                  <c:v>14.87239033180067</c:v>
                </c:pt>
                <c:pt idx="2">
                  <c:v>9.1267248032660362</c:v>
                </c:pt>
                <c:pt idx="3">
                  <c:v>7.8134428590894043</c:v>
                </c:pt>
                <c:pt idx="4">
                  <c:v>14.278306833264326</c:v>
                </c:pt>
                <c:pt idx="5">
                  <c:v>12.012976562176679</c:v>
                </c:pt>
                <c:pt idx="6">
                  <c:v>12.701130670147618</c:v>
                </c:pt>
                <c:pt idx="7">
                  <c:v>10.532058079778123</c:v>
                </c:pt>
              </c:numCache>
            </c:numRef>
          </c:val>
          <c:extLst>
            <c:ext xmlns:c16="http://schemas.microsoft.com/office/drawing/2014/chart" uri="{C3380CC4-5D6E-409C-BE32-E72D297353CC}">
              <c16:uniqueId val="{00000005-435E-4E39-9E9A-3F04A18D680B}"/>
            </c:ext>
          </c:extLst>
        </c:ser>
        <c:dLbls>
          <c:dLblPos val="ctr"/>
          <c:showLegendKey val="0"/>
          <c:showVal val="1"/>
          <c:showCatName val="0"/>
          <c:showSerName val="0"/>
          <c:showPercent val="0"/>
          <c:showBubbleSize val="0"/>
        </c:dLbls>
        <c:gapWidth val="219"/>
        <c:overlap val="100"/>
        <c:axId val="421849744"/>
        <c:axId val="427273232"/>
      </c:barChart>
      <c:lineChart>
        <c:grouping val="standard"/>
        <c:varyColors val="0"/>
        <c:ser>
          <c:idx val="0"/>
          <c:order val="0"/>
          <c:tx>
            <c:strRef>
              <c:f>'6. CUIDADOS'!$C$54:$D$54</c:f>
              <c:strCache>
                <c:ptCount val="2"/>
                <c:pt idx="0">
                  <c:v>Hombres(%)</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dLbls>
            <c:delete val="1"/>
          </c:dLbls>
          <c:cat>
            <c:numRef>
              <c:f>('6. CUIDADOS'!$E$52,'6. CUIDADOS'!$J$52,'6. CUIDADOS'!$O$52,'6. CUIDADOS'!$T$52,'6. CUIDADOS'!$U$52,'6. CUIDADOS'!$V$52)</c:f>
              <c:numCache>
                <c:formatCode>General</c:formatCode>
                <c:ptCount val="6"/>
                <c:pt idx="0">
                  <c:v>2005</c:v>
                </c:pt>
                <c:pt idx="1">
                  <c:v>2010</c:v>
                </c:pt>
                <c:pt idx="2">
                  <c:v>2015</c:v>
                </c:pt>
                <c:pt idx="3">
                  <c:v>2020</c:v>
                </c:pt>
                <c:pt idx="4">
                  <c:v>2021</c:v>
                </c:pt>
                <c:pt idx="5">
                  <c:v>2022</c:v>
                </c:pt>
              </c:numCache>
            </c:numRef>
          </c:cat>
          <c:val>
            <c:numRef>
              <c:f>('6. CUIDADOS'!$E$54,'6. CUIDADOS'!$J$54,'6. CUIDADOS'!$O$54,'6. CUIDADOS'!$T$54,'6. CUIDADOS'!$U$54,'6. CUIDADOS'!$V$54,'6. CUIDADOS'!$W$54,'6. CUIDADOS'!$X$54)</c:f>
              <c:numCache>
                <c:formatCode>0.0</c:formatCode>
                <c:ptCount val="8"/>
                <c:pt idx="0">
                  <c:v>1.8766756032171581</c:v>
                </c:pt>
                <c:pt idx="1">
                  <c:v>1.2019230769230769</c:v>
                </c:pt>
                <c:pt idx="2">
                  <c:v>2.8828828828828827</c:v>
                </c:pt>
                <c:pt idx="3">
                  <c:v>1.0452961672473866</c:v>
                </c:pt>
                <c:pt idx="4">
                  <c:v>1.5544041450777204</c:v>
                </c:pt>
                <c:pt idx="5">
                  <c:v>1.5128593040847202</c:v>
                </c:pt>
                <c:pt idx="6">
                  <c:v>0.53097345132743357</c:v>
                </c:pt>
                <c:pt idx="7">
                  <c:v>5.9782608695652169</c:v>
                </c:pt>
              </c:numCache>
            </c:numRef>
          </c:val>
          <c:smooth val="0"/>
          <c:extLst>
            <c:ext xmlns:c16="http://schemas.microsoft.com/office/drawing/2014/chart" uri="{C3380CC4-5D6E-409C-BE32-E72D297353CC}">
              <c16:uniqueId val="{00000006-435E-4E39-9E9A-3F04A18D680B}"/>
            </c:ext>
          </c:extLst>
        </c:ser>
        <c:ser>
          <c:idx val="1"/>
          <c:order val="1"/>
          <c:tx>
            <c:strRef>
              <c:f>'6. CUIDADOS'!$C$55:$D$55</c:f>
              <c:strCache>
                <c:ptCount val="2"/>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dLbls>
            <c:delete val="1"/>
          </c:dLbls>
          <c:cat>
            <c:numRef>
              <c:f>('6. CUIDADOS'!$E$52,'6. CUIDADOS'!$J$52,'6. CUIDADOS'!$O$52,'6. CUIDADOS'!$T$52,'6. CUIDADOS'!$U$52,'6. CUIDADOS'!$V$52)</c:f>
              <c:numCache>
                <c:formatCode>General</c:formatCode>
                <c:ptCount val="6"/>
                <c:pt idx="0">
                  <c:v>2005</c:v>
                </c:pt>
                <c:pt idx="1">
                  <c:v>2010</c:v>
                </c:pt>
                <c:pt idx="2">
                  <c:v>2015</c:v>
                </c:pt>
                <c:pt idx="3">
                  <c:v>2020</c:v>
                </c:pt>
                <c:pt idx="4">
                  <c:v>2021</c:v>
                </c:pt>
                <c:pt idx="5">
                  <c:v>2022</c:v>
                </c:pt>
              </c:numCache>
            </c:numRef>
          </c:cat>
          <c:val>
            <c:numRef>
              <c:f>('6. CUIDADOS'!$E$55,'6. CUIDADOS'!$J$55,'6. CUIDADOS'!$O$55,'6. CUIDADOS'!$T$55,'6. CUIDADOS'!$U$55,'6. CUIDADOS'!$V$55,'6. CUIDADOS'!$W$55,'6. CUIDADOS'!$X$55)</c:f>
              <c:numCache>
                <c:formatCode>0.0</c:formatCode>
                <c:ptCount val="8"/>
                <c:pt idx="0">
                  <c:v>13.177648040033359</c:v>
                </c:pt>
                <c:pt idx="1">
                  <c:v>16.074313408723746</c:v>
                </c:pt>
                <c:pt idx="2">
                  <c:v>12.009607686148918</c:v>
                </c:pt>
                <c:pt idx="3">
                  <c:v>8.8587390263367904</c:v>
                </c:pt>
                <c:pt idx="4">
                  <c:v>15.832710978342046</c:v>
                </c:pt>
                <c:pt idx="5">
                  <c:v>13.525835866261399</c:v>
                </c:pt>
                <c:pt idx="6">
                  <c:v>13.232104121475052</c:v>
                </c:pt>
                <c:pt idx="7">
                  <c:v>16.51031894934334</c:v>
                </c:pt>
              </c:numCache>
            </c:numRef>
          </c:val>
          <c:smooth val="0"/>
          <c:extLst>
            <c:ext xmlns:c16="http://schemas.microsoft.com/office/drawing/2014/chart" uri="{C3380CC4-5D6E-409C-BE32-E72D297353CC}">
              <c16:uniqueId val="{00000007-435E-4E39-9E9A-3F04A18D680B}"/>
            </c:ext>
          </c:extLst>
        </c:ser>
        <c:dLbls>
          <c:dLblPos val="ctr"/>
          <c:showLegendKey val="0"/>
          <c:showVal val="1"/>
          <c:showCatName val="0"/>
          <c:showSerName val="0"/>
          <c:showPercent val="0"/>
          <c:showBubbleSize val="0"/>
        </c:dLbls>
        <c:marker val="1"/>
        <c:smooth val="0"/>
        <c:axId val="421849744"/>
        <c:axId val="427273232"/>
      </c:lineChart>
      <c:catAx>
        <c:axId val="4218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7273232"/>
        <c:crosses val="autoZero"/>
        <c:auto val="1"/>
        <c:lblAlgn val="ctr"/>
        <c:lblOffset val="100"/>
        <c:noMultiLvlLbl val="0"/>
      </c:catAx>
      <c:valAx>
        <c:axId val="427273232"/>
        <c:scaling>
          <c:orientation val="minMax"/>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18497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21827805153205893"/>
          <c:y val="0.92865831127977227"/>
          <c:w val="0.55943285805154475"/>
          <c:h val="7.13416887202276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r>
              <a:rPr lang="it-IT" sz="1200" b="1" i="0" u="none" strike="noStrike" kern="1200" spc="0" baseline="0">
                <a:solidFill>
                  <a:sysClr val="windowText" lastClr="000000">
                    <a:lumMod val="65000"/>
                    <a:lumOff val="35000"/>
                  </a:sysClr>
                </a:solidFill>
                <a:latin typeface="+mn-lt"/>
                <a:ea typeface="+mn-ea"/>
                <a:cs typeface="+mn-cs"/>
              </a:rPr>
              <a:t>6.6 Excedencias por cuidado de familiares  </a:t>
            </a:r>
          </a:p>
        </c:rich>
      </c:tx>
      <c:layout>
        <c:manualLayout>
          <c:xMode val="edge"/>
          <c:yMode val="edge"/>
          <c:x val="0.33038577461504581"/>
          <c:y val="3.7037000395726161E-2"/>
        </c:manualLayout>
      </c:layout>
      <c:overlay val="0"/>
      <c:spPr>
        <a:noFill/>
        <a:ln>
          <a:noFill/>
        </a:ln>
        <a:effectLst/>
      </c:spPr>
      <c:txPr>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barChart>
        <c:barDir val="col"/>
        <c:grouping val="clustered"/>
        <c:varyColors val="0"/>
        <c:ser>
          <c:idx val="2"/>
          <c:order val="2"/>
          <c:tx>
            <c:strRef>
              <c:f>'6. CUIDADOS'!$C$72:$D$72</c:f>
              <c:strCache>
                <c:ptCount val="2"/>
                <c:pt idx="0">
                  <c:v>Brecha (N)</c:v>
                </c:pt>
              </c:strCache>
            </c:strRef>
          </c:tx>
          <c:spPr>
            <a:solidFill>
              <a:srgbClr val="FF8989">
                <a:alpha val="7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2015</c:v>
              </c:pt>
              <c:pt idx="1">
                <c:v>2020</c:v>
              </c:pt>
              <c:pt idx="2">
                <c:v>2021</c:v>
              </c:pt>
              <c:pt idx="3">
                <c:v>2022</c:v>
              </c:pt>
              <c:pt idx="4">
                <c:v>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'6. CUIDADOS'!$J$72:$W$72</c15:sqref>
                  </c15:fullRef>
                </c:ext>
              </c:extLst>
              <c:f>'6. CUIDADOS'!$K$72:$W$72</c:f>
              <c:numCache>
                <c:formatCode>_-* #,##0_-;\-* #,##0_-;_-* "-"??_-;_-@_-</c:formatCode>
                <c:ptCount val="5"/>
                <c:pt idx="0">
                  <c:v>2319</c:v>
                </c:pt>
                <c:pt idx="1">
                  <c:v>1910</c:v>
                </c:pt>
                <c:pt idx="2">
                  <c:v>1623</c:v>
                </c:pt>
                <c:pt idx="3">
                  <c:v>1552</c:v>
                </c:pt>
                <c:pt idx="4">
                  <c:v>1101</c:v>
                </c:pt>
              </c:numCache>
            </c:numRef>
          </c:val>
          <c:extLst>
            <c:ext xmlns:c16="http://schemas.microsoft.com/office/drawing/2014/chart" uri="{C3380CC4-5D6E-409C-BE32-E72D297353CC}">
              <c16:uniqueId val="{00000000-2E40-4F22-B0FC-F587F50D3DE8}"/>
            </c:ext>
          </c:extLst>
        </c:ser>
        <c:dLbls>
          <c:showLegendKey val="0"/>
          <c:showVal val="0"/>
          <c:showCatName val="0"/>
          <c:showSerName val="0"/>
          <c:showPercent val="0"/>
          <c:showBubbleSize val="0"/>
        </c:dLbls>
        <c:gapWidth val="219"/>
        <c:axId val="421849744"/>
        <c:axId val="427273232"/>
      </c:barChart>
      <c:lineChart>
        <c:grouping val="standard"/>
        <c:varyColors val="0"/>
        <c:ser>
          <c:idx val="0"/>
          <c:order val="0"/>
          <c:tx>
            <c:strRef>
              <c:f>'6. CUIDADOS'!$C$70:$D$70</c:f>
              <c:strCache>
                <c:ptCount val="2"/>
                <c:pt idx="0">
                  <c:v>Padres</c:v>
                </c:pt>
              </c:strCache>
            </c:strRef>
          </c:tx>
          <c:spPr>
            <a:ln w="19050" cap="rnd">
              <a:solidFill>
                <a:schemeClr val="bg2">
                  <a:lumMod val="50000"/>
                </a:schemeClr>
              </a:solidFill>
              <a:round/>
            </a:ln>
            <a:effectLst/>
          </c:spPr>
          <c:marker>
            <c:symbol val="circle"/>
            <c:size val="5"/>
            <c:spPr>
              <a:solidFill>
                <a:schemeClr val="bg2">
                  <a:lumMod val="50000"/>
                </a:schemeClr>
              </a:solidFill>
              <a:ln w="19050">
                <a:noFill/>
              </a:ln>
              <a:effectLst/>
            </c:spPr>
          </c:marker>
          <c:cat>
            <c:numRef>
              <c:extLst>
                <c:ext xmlns:c15="http://schemas.microsoft.com/office/drawing/2012/chart" uri="{02D57815-91ED-43cb-92C2-25804820EDAC}">
                  <c15:fullRef>
                    <c15:sqref>'6. CUIDADOS'!$J$68:$W$68</c15:sqref>
                  </c15:fullRef>
                </c:ext>
              </c:extLst>
              <c:f>'6. CUIDADOS'!$K$68:$W$68</c:f>
              <c:numCache>
                <c:formatCode>General</c:formatCode>
                <c:ptCount val="5"/>
                <c:pt idx="0">
                  <c:v>2015</c:v>
                </c:pt>
                <c:pt idx="1">
                  <c:v>2020</c:v>
                </c:pt>
                <c:pt idx="2">
                  <c:v>2021</c:v>
                </c:pt>
                <c:pt idx="3">
                  <c:v>2022</c:v>
                </c:pt>
                <c:pt idx="4">
                  <c:v>2023</c:v>
                </c:pt>
              </c:numCache>
            </c:numRef>
          </c:cat>
          <c:val>
            <c:numRef>
              <c:extLst>
                <c:ext xmlns:c15="http://schemas.microsoft.com/office/drawing/2012/chart" uri="{02D57815-91ED-43cb-92C2-25804820EDAC}">
                  <c15:fullRef>
                    <c15:sqref>'6. CUIDADOS'!$J$70:$W$70</c15:sqref>
                  </c15:fullRef>
                </c:ext>
              </c:extLst>
              <c:f>'6. CUIDADOS'!$K$70:$W$70</c:f>
              <c:numCache>
                <c:formatCode>_-* #,##0_-;\-* #,##0_-;_-* "-"??_-;_-@_-</c:formatCode>
                <c:ptCount val="5"/>
                <c:pt idx="0">
                  <c:v>463</c:v>
                </c:pt>
                <c:pt idx="1">
                  <c:v>559</c:v>
                </c:pt>
                <c:pt idx="2">
                  <c:v>512</c:v>
                </c:pt>
                <c:pt idx="3">
                  <c:v>500</c:v>
                </c:pt>
                <c:pt idx="4">
                  <c:v>604</c:v>
                </c:pt>
              </c:numCache>
            </c:numRef>
          </c:val>
          <c:smooth val="0"/>
          <c:extLst>
            <c:ext xmlns:c16="http://schemas.microsoft.com/office/drawing/2014/chart" uri="{C3380CC4-5D6E-409C-BE32-E72D297353CC}">
              <c16:uniqueId val="{00000001-2E40-4F22-B0FC-F587F50D3DE8}"/>
            </c:ext>
          </c:extLst>
        </c:ser>
        <c:ser>
          <c:idx val="1"/>
          <c:order val="1"/>
          <c:tx>
            <c:strRef>
              <c:f>'6. CUIDADOS'!$C$71:$D$71</c:f>
              <c:strCache>
                <c:ptCount val="2"/>
                <c:pt idx="0">
                  <c:v>Madres</c:v>
                </c:pt>
              </c:strCache>
            </c:strRef>
          </c:tx>
          <c:spPr>
            <a:ln w="19050" cap="rnd">
              <a:solidFill>
                <a:srgbClr val="C00000"/>
              </a:solidFill>
              <a:round/>
            </a:ln>
            <a:effectLst/>
          </c:spPr>
          <c:marker>
            <c:symbol val="circle"/>
            <c:size val="5"/>
            <c:spPr>
              <a:solidFill>
                <a:srgbClr val="C00000"/>
              </a:solidFill>
              <a:ln w="19050">
                <a:noFill/>
              </a:ln>
              <a:effectLst/>
            </c:spPr>
          </c:marker>
          <c:cat>
            <c:numRef>
              <c:extLst>
                <c:ext xmlns:c15="http://schemas.microsoft.com/office/drawing/2012/chart" uri="{02D57815-91ED-43cb-92C2-25804820EDAC}">
                  <c15:fullRef>
                    <c15:sqref>'6. CUIDADOS'!$J$68:$W$68</c15:sqref>
                  </c15:fullRef>
                </c:ext>
              </c:extLst>
              <c:f>'6. CUIDADOS'!$K$68:$W$68</c:f>
              <c:numCache>
                <c:formatCode>General</c:formatCode>
                <c:ptCount val="5"/>
                <c:pt idx="0">
                  <c:v>2015</c:v>
                </c:pt>
                <c:pt idx="1">
                  <c:v>2020</c:v>
                </c:pt>
                <c:pt idx="2">
                  <c:v>2021</c:v>
                </c:pt>
                <c:pt idx="3">
                  <c:v>2022</c:v>
                </c:pt>
                <c:pt idx="4">
                  <c:v>2023</c:v>
                </c:pt>
              </c:numCache>
            </c:numRef>
          </c:cat>
          <c:val>
            <c:numRef>
              <c:extLst>
                <c:ext xmlns:c15="http://schemas.microsoft.com/office/drawing/2012/chart" uri="{02D57815-91ED-43cb-92C2-25804820EDAC}">
                  <c15:fullRef>
                    <c15:sqref>'6. CUIDADOS'!$J$71:$W$71</c15:sqref>
                  </c15:fullRef>
                </c:ext>
              </c:extLst>
              <c:f>'6. CUIDADOS'!$K$71:$W$71</c:f>
              <c:numCache>
                <c:formatCode>_-* #,##0_-;\-* #,##0_-;_-* "-"??_-;_-@_-</c:formatCode>
                <c:ptCount val="5"/>
                <c:pt idx="0">
                  <c:v>2782</c:v>
                </c:pt>
                <c:pt idx="1">
                  <c:v>2469</c:v>
                </c:pt>
                <c:pt idx="2">
                  <c:v>2135</c:v>
                </c:pt>
                <c:pt idx="3">
                  <c:v>2052</c:v>
                </c:pt>
                <c:pt idx="4">
                  <c:v>1705</c:v>
                </c:pt>
              </c:numCache>
            </c:numRef>
          </c:val>
          <c:smooth val="0"/>
          <c:extLst>
            <c:ext xmlns:c16="http://schemas.microsoft.com/office/drawing/2014/chart" uri="{C3380CC4-5D6E-409C-BE32-E72D297353CC}">
              <c16:uniqueId val="{00000002-2E40-4F22-B0FC-F587F50D3DE8}"/>
            </c:ext>
          </c:extLst>
        </c:ser>
        <c:dLbls>
          <c:showLegendKey val="0"/>
          <c:showVal val="0"/>
          <c:showCatName val="0"/>
          <c:showSerName val="0"/>
          <c:showPercent val="0"/>
          <c:showBubbleSize val="0"/>
        </c:dLbls>
        <c:marker val="1"/>
        <c:smooth val="0"/>
        <c:axId val="421849744"/>
        <c:axId val="427273232"/>
      </c:lineChart>
      <c:catAx>
        <c:axId val="4218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7273232"/>
        <c:crosses val="autoZero"/>
        <c:auto val="1"/>
        <c:lblAlgn val="ctr"/>
        <c:lblOffset val="100"/>
        <c:noMultiLvlLbl val="0"/>
      </c:catAx>
      <c:valAx>
        <c:axId val="42727323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18497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r>
              <a:rPr lang="it-IT" sz="1200" b="1" i="0" u="none" strike="noStrike" kern="1200" spc="0" baseline="0">
                <a:solidFill>
                  <a:sysClr val="windowText" lastClr="000000">
                    <a:lumMod val="65000"/>
                    <a:lumOff val="35000"/>
                  </a:sysClr>
                </a:solidFill>
                <a:latin typeface="+mn-lt"/>
                <a:ea typeface="+mn-ea"/>
                <a:cs typeface="+mn-cs"/>
              </a:rPr>
              <a:t>6.4 Porcentaje de la población inactiva cuya situación de inactividad es "labores del hogar" </a:t>
            </a:r>
          </a:p>
        </c:rich>
      </c:tx>
      <c:layout>
        <c:manualLayout>
          <c:xMode val="edge"/>
          <c:yMode val="edge"/>
          <c:x val="0.19151734937773016"/>
          <c:y val="3.7037000395726161E-2"/>
        </c:manualLayout>
      </c:layout>
      <c:overlay val="0"/>
      <c:spPr>
        <a:noFill/>
        <a:ln>
          <a:noFill/>
        </a:ln>
        <a:effectLst/>
      </c:spPr>
      <c:txPr>
        <a:bodyPr rot="0" spcFirstLastPara="1" vertOverflow="ellipsis" vert="horz" wrap="square" anchor="ctr" anchorCtr="1"/>
        <a:lstStyle/>
        <a:p>
          <a:pPr algn="ctr" rtl="0">
            <a:defRPr lang="it-IT" sz="120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manualLayout>
          <c:layoutTarget val="inner"/>
          <c:xMode val="edge"/>
          <c:yMode val="edge"/>
          <c:x val="0.19238961162900658"/>
          <c:y val="0.20647342039308797"/>
          <c:w val="0.77896298481305881"/>
          <c:h val="0.43839005408257486"/>
        </c:manualLayout>
      </c:layout>
      <c:barChart>
        <c:barDir val="col"/>
        <c:grouping val="clustered"/>
        <c:varyColors val="0"/>
        <c:ser>
          <c:idx val="2"/>
          <c:order val="2"/>
          <c:tx>
            <c:strRef>
              <c:f>'6. CUIDADOS'!$C$61:$D$61</c:f>
              <c:strCache>
                <c:ptCount val="2"/>
                <c:pt idx="0">
                  <c:v>Brecha (punt.porc.)</c:v>
                </c:pt>
              </c:strCache>
            </c:strRef>
          </c:tx>
          <c:spPr>
            <a:solidFill>
              <a:srgbClr val="FF8989"/>
            </a:solidFill>
            <a:ln>
              <a:noFill/>
            </a:ln>
            <a:effectLst/>
          </c:spPr>
          <c:invertIfNegative val="0"/>
          <c:cat>
            <c:numRef>
              <c:extLst>
                <c:ext xmlns:c15="http://schemas.microsoft.com/office/drawing/2012/chart" uri="{02D57815-91ED-43cb-92C2-25804820EDAC}">
                  <c15:fullRef>
                    <c15:sqref>'6. CUIDADOS'!$E$57:$W$57</c15:sqref>
                  </c15:fullRef>
                </c:ext>
              </c:extLst>
              <c:f>('6. CUIDADOS'!$E$57:$S$57,'6. CUIDADOS'!$U$57:$W$57)</c:f>
              <c:numCache>
                <c:formatCode>General</c:formatCode>
                <c:ptCount val="7"/>
                <c:pt idx="0">
                  <c:v>2005</c:v>
                </c:pt>
                <c:pt idx="1">
                  <c:v>2009</c:v>
                </c:pt>
                <c:pt idx="2">
                  <c:v>2010</c:v>
                </c:pt>
                <c:pt idx="3">
                  <c:v>2015</c:v>
                </c:pt>
                <c:pt idx="4">
                  <c:v>2021</c:v>
                </c:pt>
                <c:pt idx="5">
                  <c:v>2022</c:v>
                </c:pt>
                <c:pt idx="6">
                  <c:v>2023</c:v>
                </c:pt>
              </c:numCache>
            </c:numRef>
          </c:cat>
          <c:val>
            <c:numRef>
              <c:extLst>
                <c:ext xmlns:c15="http://schemas.microsoft.com/office/drawing/2012/chart" uri="{02D57815-91ED-43cb-92C2-25804820EDAC}">
                  <c15:fullRef>
                    <c15:sqref>'6. CUIDADOS'!$E$61:$W$61</c15:sqref>
                  </c15:fullRef>
                </c:ext>
              </c:extLst>
              <c:f>('6. CUIDADOS'!$E$61:$S$61,'6. CUIDADOS'!$U$61:$W$61)</c:f>
              <c:numCache>
                <c:formatCode>General</c:formatCode>
                <c:ptCount val="7"/>
                <c:pt idx="0" formatCode="0.0">
                  <c:v>37.169867264110415</c:v>
                </c:pt>
                <c:pt idx="2" formatCode="0.0">
                  <c:v>30.8557394133496</c:v>
                </c:pt>
                <c:pt idx="3" formatCode="0.0">
                  <c:v>27.129522482928774</c:v>
                </c:pt>
                <c:pt idx="4" formatCode="0.0">
                  <c:v>18.886049898172473</c:v>
                </c:pt>
                <c:pt idx="5" formatCode="0.0">
                  <c:v>20.190398577567045</c:v>
                </c:pt>
                <c:pt idx="6" formatCode="0.0">
                  <c:v>20.134087377146319</c:v>
                </c:pt>
              </c:numCache>
            </c:numRef>
          </c:val>
          <c:extLst>
            <c:ext xmlns:c16="http://schemas.microsoft.com/office/drawing/2014/chart" uri="{C3380CC4-5D6E-409C-BE32-E72D297353CC}">
              <c16:uniqueId val="{00000002-68C4-4E55-953F-1678AB5E3CD9}"/>
            </c:ext>
          </c:extLst>
        </c:ser>
        <c:dLbls>
          <c:showLegendKey val="0"/>
          <c:showVal val="0"/>
          <c:showCatName val="0"/>
          <c:showSerName val="0"/>
          <c:showPercent val="0"/>
          <c:showBubbleSize val="0"/>
        </c:dLbls>
        <c:gapWidth val="219"/>
        <c:axId val="421849744"/>
        <c:axId val="427273232"/>
      </c:barChart>
      <c:lineChart>
        <c:grouping val="standard"/>
        <c:varyColors val="0"/>
        <c:ser>
          <c:idx val="0"/>
          <c:order val="0"/>
          <c:tx>
            <c:strRef>
              <c:f>'6. CUIDADOS'!$C$59:$D$59</c:f>
              <c:strCache>
                <c:ptCount val="2"/>
                <c:pt idx="0">
                  <c:v>Hombres(%)</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('6. CUIDADOS'!$J$57,'6. CUIDADOS'!$O$57,'6. CUIDADOS'!$T$57,'6. CUIDADOS'!$U$57,'6. CUIDADOS'!$V$57,'6. CUIDADOS'!$W$57,'6. CUIDADOS'!$X$57)</c15:sqref>
                  </c15:fullRef>
                </c:ext>
              </c:extLst>
              <c:f>('6. CUIDADOS'!$J$57,'6. CUIDADOS'!$O$57,'6. CUIDADOS'!$T$57,'6. CUIDADOS'!$U$57,'6. CUIDADOS'!$V$57,'6. CUIDADOS'!$W$57,'6. CUIDADOS'!$X$57)</c:f>
              <c:numCache>
                <c:formatCode>General</c:formatCode>
                <c:ptCount val="6"/>
                <c:pt idx="0">
                  <c:v>2010</c:v>
                </c:pt>
                <c:pt idx="1">
                  <c:v>2015</c:v>
                </c:pt>
                <c:pt idx="2">
                  <c:v>2020</c:v>
                </c:pt>
                <c:pt idx="3">
                  <c:v>2021</c:v>
                </c:pt>
                <c:pt idx="4">
                  <c:v>2023</c:v>
                </c:pt>
                <c:pt idx="5">
                  <c:v>2024</c:v>
                </c:pt>
              </c:numCache>
            </c:numRef>
          </c:cat>
          <c:val>
            <c:numRef>
              <c:extLst>
                <c:ext xmlns:c15="http://schemas.microsoft.com/office/drawing/2012/chart" uri="{02D57815-91ED-43cb-92C2-25804820EDAC}">
                  <c15:fullRef>
                    <c15:sqref>'6. CUIDADOS'!$E$59:$W$59</c15:sqref>
                  </c15:fullRef>
                </c:ext>
              </c:extLst>
              <c:f>('6. CUIDADOS'!$E$59:$S$59,'6. CUIDADOS'!$U$59:$W$59)</c:f>
              <c:numCache>
                <c:formatCode>General</c:formatCode>
                <c:ptCount val="7"/>
                <c:pt idx="0" formatCode="_-* #,##0.0_-;\-* #,##0.0_-;_-* &quot;-&quot;??_-;_-@_-">
                  <c:v>3.7644528098951335</c:v>
                </c:pt>
                <c:pt idx="2" formatCode="_-* #,##0.0_-;\-* #,##0.0_-;_-* &quot;-&quot;??_-;_-@_-">
                  <c:v>5.7225738396624477</c:v>
                </c:pt>
                <c:pt idx="3" formatCode="_-* #,##0.0_-;\-* #,##0.0_-;_-* &quot;-&quot;??_-;_-@_-">
                  <c:v>5.0976413898047177</c:v>
                </c:pt>
                <c:pt idx="4" formatCode="0.0">
                  <c:v>7.0062171209947399</c:v>
                </c:pt>
                <c:pt idx="5" formatCode="0.0">
                  <c:v>6.5743073047858953</c:v>
                </c:pt>
                <c:pt idx="6" formatCode="0.0">
                  <c:v>5.8441558441558437</c:v>
                </c:pt>
              </c:numCache>
            </c:numRef>
          </c:val>
          <c:smooth val="0"/>
          <c:extLst>
            <c:ext xmlns:c16="http://schemas.microsoft.com/office/drawing/2014/chart" uri="{C3380CC4-5D6E-409C-BE32-E72D297353CC}">
              <c16:uniqueId val="{00000003-68C4-4E55-953F-1678AB5E3CD9}"/>
            </c:ext>
          </c:extLst>
        </c:ser>
        <c:ser>
          <c:idx val="1"/>
          <c:order val="1"/>
          <c:tx>
            <c:strRef>
              <c:f>'6. CUIDADOS'!$C$55:$D$55</c:f>
              <c:strCache>
                <c:ptCount val="2"/>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('6. CUIDADOS'!$J$57,'6. CUIDADOS'!$O$57,'6. CUIDADOS'!$T$57,'6. CUIDADOS'!$U$57,'6. CUIDADOS'!$V$57,'6. CUIDADOS'!$W$57,'6. CUIDADOS'!$X$57)</c15:sqref>
                  </c15:fullRef>
                </c:ext>
              </c:extLst>
              <c:f>('6. CUIDADOS'!$J$57,'6. CUIDADOS'!$O$57,'6. CUIDADOS'!$T$57,'6. CUIDADOS'!$U$57,'6. CUIDADOS'!$V$57,'6. CUIDADOS'!$W$57,'6. CUIDADOS'!$X$57)</c:f>
              <c:numCache>
                <c:formatCode>General</c:formatCode>
                <c:ptCount val="6"/>
                <c:pt idx="0">
                  <c:v>2010</c:v>
                </c:pt>
                <c:pt idx="1">
                  <c:v>2015</c:v>
                </c:pt>
                <c:pt idx="2">
                  <c:v>2020</c:v>
                </c:pt>
                <c:pt idx="3">
                  <c:v>2021</c:v>
                </c:pt>
                <c:pt idx="4">
                  <c:v>2023</c:v>
                </c:pt>
                <c:pt idx="5">
                  <c:v>2024</c:v>
                </c:pt>
              </c:numCache>
            </c:numRef>
          </c:cat>
          <c:val>
            <c:numRef>
              <c:extLst>
                <c:ext xmlns:c15="http://schemas.microsoft.com/office/drawing/2012/chart" uri="{02D57815-91ED-43cb-92C2-25804820EDAC}">
                  <c15:fullRef>
                    <c15:sqref>'6. CUIDADOS'!$E$60:$W$60</c15:sqref>
                  </c15:fullRef>
                </c:ext>
              </c:extLst>
              <c:f>('6. CUIDADOS'!$E$60:$S$60,'6. CUIDADOS'!$U$60:$W$60)</c:f>
              <c:numCache>
                <c:formatCode>General</c:formatCode>
                <c:ptCount val="7"/>
                <c:pt idx="0" formatCode="_-* #,##0.0_-;\-* #,##0.0_-;_-* &quot;-&quot;??_-;_-@_-">
                  <c:v>40.934320074005548</c:v>
                </c:pt>
                <c:pt idx="2" formatCode="_-* #,##0.0_-;\-* #,##0.0_-;_-* &quot;-&quot;??_-;_-@_-">
                  <c:v>36.578313253012048</c:v>
                </c:pt>
                <c:pt idx="3" formatCode="_-* #,##0.0_-;\-* #,##0.0_-;_-* &quot;-&quot;??_-;_-@_-">
                  <c:v>32.227163872733492</c:v>
                </c:pt>
                <c:pt idx="4" formatCode="0.0">
                  <c:v>25.892267019167214</c:v>
                </c:pt>
                <c:pt idx="5" formatCode="0.0">
                  <c:v>26.764705882352942</c:v>
                </c:pt>
                <c:pt idx="6" formatCode="0.0">
                  <c:v>25.978243221302161</c:v>
                </c:pt>
              </c:numCache>
            </c:numRef>
          </c:val>
          <c:smooth val="0"/>
          <c:extLst>
            <c:ext xmlns:c16="http://schemas.microsoft.com/office/drawing/2014/chart" uri="{C3380CC4-5D6E-409C-BE32-E72D297353CC}">
              <c16:uniqueId val="{00000004-68C4-4E55-953F-1678AB5E3CD9}"/>
            </c:ext>
          </c:extLst>
        </c:ser>
        <c:dLbls>
          <c:showLegendKey val="0"/>
          <c:showVal val="0"/>
          <c:showCatName val="0"/>
          <c:showSerName val="0"/>
          <c:showPercent val="0"/>
          <c:showBubbleSize val="0"/>
        </c:dLbls>
        <c:marker val="1"/>
        <c:smooth val="0"/>
        <c:axId val="421849744"/>
        <c:axId val="427273232"/>
      </c:lineChart>
      <c:catAx>
        <c:axId val="4218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7273232"/>
        <c:crosses val="autoZero"/>
        <c:auto val="1"/>
        <c:lblAlgn val="ctr"/>
        <c:lblOffset val="100"/>
        <c:noMultiLvlLbl val="0"/>
      </c:catAx>
      <c:valAx>
        <c:axId val="4272732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18497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22228905531363874"/>
          <c:y val="0.92865831127977227"/>
          <c:w val="0.55943276970876543"/>
          <c:h val="7.13416887202276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it-IT" sz="1150" b="1" i="0" u="none" strike="noStrike" kern="1200" spc="0" baseline="0">
                <a:solidFill>
                  <a:sysClr val="windowText" lastClr="000000">
                    <a:lumMod val="65000"/>
                    <a:lumOff val="35000"/>
                  </a:sysClr>
                </a:solidFill>
                <a:latin typeface="+mn-lt"/>
                <a:ea typeface="+mn-ea"/>
                <a:cs typeface="+mn-cs"/>
              </a:defRPr>
            </a:pPr>
            <a:r>
              <a:rPr lang="it-IT" sz="1150" b="1" i="0" u="none" strike="noStrike" kern="1200" spc="0" baseline="0">
                <a:solidFill>
                  <a:sysClr val="windowText" lastClr="000000">
                    <a:lumMod val="65000"/>
                    <a:lumOff val="35000"/>
                  </a:sysClr>
                </a:solidFill>
                <a:latin typeface="+mn-lt"/>
                <a:ea typeface="+mn-ea"/>
                <a:cs typeface="+mn-cs"/>
              </a:rPr>
              <a:t>6.7 Población escolarizada en educación infantil de primero y segundo ciclo (%)</a:t>
            </a:r>
          </a:p>
        </c:rich>
      </c:tx>
      <c:layout>
        <c:manualLayout>
          <c:xMode val="edge"/>
          <c:yMode val="edge"/>
          <c:x val="9.7134045651181805E-2"/>
          <c:y val="3.7037121358725965E-2"/>
        </c:manualLayout>
      </c:layout>
      <c:overlay val="0"/>
      <c:spPr>
        <a:noFill/>
        <a:ln>
          <a:noFill/>
        </a:ln>
        <a:effectLst/>
      </c:spPr>
      <c:txPr>
        <a:bodyPr rot="0" spcFirstLastPara="1" vertOverflow="ellipsis" vert="horz" wrap="square" anchor="ctr" anchorCtr="1"/>
        <a:lstStyle/>
        <a:p>
          <a:pPr>
            <a:defRPr lang="it-IT" sz="115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barChart>
        <c:barDir val="col"/>
        <c:grouping val="stacked"/>
        <c:varyColors val="0"/>
        <c:ser>
          <c:idx val="0"/>
          <c:order val="2"/>
          <c:tx>
            <c:strRef>
              <c:f>'6. CUIDADOS'!$C$81</c:f>
              <c:strCache>
                <c:ptCount val="1"/>
                <c:pt idx="0">
                  <c:v>Brecha (punt.porc.)</c:v>
                </c:pt>
              </c:strCache>
            </c:strRef>
          </c:tx>
          <c:spPr>
            <a:solidFill>
              <a:srgbClr val="FF8989"/>
            </a:solidFill>
            <a:ln>
              <a:noFill/>
            </a:ln>
            <a:effectLst/>
          </c:spPr>
          <c:invertIfNegative val="0"/>
          <c:dPt>
            <c:idx val="0"/>
            <c:invertIfNegative val="0"/>
            <c:bubble3D val="0"/>
            <c:spPr>
              <a:solidFill>
                <a:srgbClr val="FF8989"/>
              </a:solidFill>
              <a:ln>
                <a:noFill/>
              </a:ln>
              <a:effectLst/>
            </c:spPr>
            <c:extLst>
              <c:ext xmlns:c16="http://schemas.microsoft.com/office/drawing/2014/chart" uri="{C3380CC4-5D6E-409C-BE32-E72D297353CC}">
                <c16:uniqueId val="{00000001-0275-44E8-B2EA-676C3A7FCD02}"/>
              </c:ext>
            </c:extLst>
          </c:dPt>
          <c:dPt>
            <c:idx val="1"/>
            <c:invertIfNegative val="0"/>
            <c:bubble3D val="0"/>
            <c:spPr>
              <a:solidFill>
                <a:srgbClr val="FF8989"/>
              </a:solidFill>
              <a:ln>
                <a:noFill/>
              </a:ln>
              <a:effectLst/>
            </c:spPr>
            <c:extLst>
              <c:ext xmlns:c16="http://schemas.microsoft.com/office/drawing/2014/chart" uri="{C3380CC4-5D6E-409C-BE32-E72D297353CC}">
                <c16:uniqueId val="{00000003-0275-44E8-B2EA-676C3A7FCD0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2015-2016</c:v>
              </c:pt>
              <c:pt idx="1">
                <c:v>2020-2021</c:v>
              </c:pt>
              <c:pt idx="2">
                <c:v>2021-2022</c:v>
              </c:pt>
              <c:pt idx="3">
                <c:v>2022-2023</c:v>
              </c:pt>
              <c:pt idx="4">
                <c:v>2023-2024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('6. CUIDADOS'!$D$81,'6. CUIDADOS'!$J$81:$W$81)</c15:sqref>
                  </c15:fullRef>
                </c:ext>
              </c:extLst>
              <c:f>('6. CUIDADOS'!$J$81:$N$81,'6. CUIDADOS'!$P$81:$W$81)</c:f>
              <c:numCache>
                <c:formatCode>0.0</c:formatCode>
                <c:ptCount val="5"/>
                <c:pt idx="0">
                  <c:v>0.66954683140696147</c:v>
                </c:pt>
                <c:pt idx="1">
                  <c:v>0.24878256026967449</c:v>
                </c:pt>
                <c:pt idx="2">
                  <c:v>-0.57919880656525891</c:v>
                </c:pt>
                <c:pt idx="3">
                  <c:v>-0.68468693449126761</c:v>
                </c:pt>
                <c:pt idx="4">
                  <c:v>-0.88094810495514508</c:v>
                </c:pt>
              </c:numCache>
            </c:numRef>
          </c:val>
          <c:extLst>
            <c:ext xmlns:c16="http://schemas.microsoft.com/office/drawing/2014/chart" uri="{C3380CC4-5D6E-409C-BE32-E72D297353CC}">
              <c16:uniqueId val="{0000002F-B7A7-454B-A5BA-FECD540E9B08}"/>
            </c:ext>
          </c:extLst>
        </c:ser>
        <c:dLbls>
          <c:showLegendKey val="0"/>
          <c:showVal val="0"/>
          <c:showCatName val="0"/>
          <c:showSerName val="0"/>
          <c:showPercent val="0"/>
          <c:showBubbleSize val="0"/>
        </c:dLbls>
        <c:gapWidth val="150"/>
        <c:overlap val="100"/>
        <c:axId val="421849744"/>
        <c:axId val="427273232"/>
      </c:barChart>
      <c:lineChart>
        <c:grouping val="standard"/>
        <c:varyColors val="0"/>
        <c:ser>
          <c:idx val="3"/>
          <c:order val="0"/>
          <c:tx>
            <c:strRef>
              <c:f>'6. CUIDADOS'!$C$79</c:f>
              <c:strCache>
                <c:ptCount val="1"/>
                <c:pt idx="0">
                  <c:v>Tasa de cobertura niños (%)</c:v>
                </c:pt>
              </c:strCache>
            </c:strRef>
          </c:tx>
          <c:spPr>
            <a:ln w="19050" cap="rnd">
              <a:solidFill>
                <a:schemeClr val="tx1">
                  <a:lumMod val="50000"/>
                  <a:lumOff val="50000"/>
                  <a:alpha val="89000"/>
                </a:schemeClr>
              </a:solidFill>
              <a:round/>
            </a:ln>
            <a:effectLst/>
          </c:spPr>
          <c:marker>
            <c:symbol val="circle"/>
            <c:size val="5"/>
            <c:spPr>
              <a:solidFill>
                <a:schemeClr val="tx1">
                  <a:lumMod val="50000"/>
                  <a:lumOff val="50000"/>
                </a:schemeClr>
              </a:solidFill>
              <a:ln w="19050" cap="flat" cmpd="sng" algn="ctr">
                <a:noFill/>
                <a:prstDash val="solid"/>
                <a:miter lim="800000"/>
              </a:ln>
              <a:effectLst/>
            </c:spPr>
          </c:marker>
          <c:cat>
            <c:strRef>
              <c:extLst>
                <c:ext xmlns:c15="http://schemas.microsoft.com/office/drawing/2012/chart" uri="{02D57815-91ED-43cb-92C2-25804820EDAC}">
                  <c15:fullRef>
                    <c15:sqref>'6. CUIDADOS'!$J$74:$W$74</c15:sqref>
                  </c15:fullRef>
                </c:ext>
              </c:extLst>
              <c:f>('6. CUIDADOS'!$K$74:$O$74,'6. CUIDADOS'!$Q$74:$W$74)</c:f>
              <c:strCache>
                <c:ptCount val="5"/>
                <c:pt idx="0">
                  <c:v>2015-2016</c:v>
                </c:pt>
                <c:pt idx="1">
                  <c:v>2020-2021</c:v>
                </c:pt>
                <c:pt idx="2">
                  <c:v>2021-2022</c:v>
                </c:pt>
                <c:pt idx="3">
                  <c:v>2022-2023</c:v>
                </c:pt>
                <c:pt idx="4">
                  <c:v>2023-2024</c:v>
                </c:pt>
              </c:strCache>
            </c:strRef>
          </c:cat>
          <c:val>
            <c:numRef>
              <c:extLst>
                <c:ext xmlns:c15="http://schemas.microsoft.com/office/drawing/2012/chart" uri="{02D57815-91ED-43cb-92C2-25804820EDAC}">
                  <c15:fullRef>
                    <c15:sqref>('6. CUIDADOS'!$D$79,'6. CUIDADOS'!$J$79:$W$79)</c15:sqref>
                  </c15:fullRef>
                </c:ext>
              </c:extLst>
              <c:f>('6. CUIDADOS'!$J$79:$N$79,'6. CUIDADOS'!$P$79:$W$79)</c:f>
              <c:numCache>
                <c:formatCode>0.0</c:formatCode>
                <c:ptCount val="5"/>
                <c:pt idx="0">
                  <c:v>56.301547626305293</c:v>
                </c:pt>
                <c:pt idx="1">
                  <c:v>59.993949363737777</c:v>
                </c:pt>
                <c:pt idx="2">
                  <c:v>59.859809741792432</c:v>
                </c:pt>
                <c:pt idx="3">
                  <c:v>62.234348687996935</c:v>
                </c:pt>
                <c:pt idx="4">
                  <c:v>63.90896745082577</c:v>
                </c:pt>
              </c:numCache>
            </c:numRef>
          </c:val>
          <c:smooth val="0"/>
          <c:extLst>
            <c:ext xmlns:c16="http://schemas.microsoft.com/office/drawing/2014/chart" uri="{C3380CC4-5D6E-409C-BE32-E72D297353CC}">
              <c16:uniqueId val="{0000000A-3575-42A9-8346-D00EB22AD1C0}"/>
            </c:ext>
          </c:extLst>
        </c:ser>
        <c:ser>
          <c:idx val="6"/>
          <c:order val="1"/>
          <c:tx>
            <c:strRef>
              <c:f>'6. CUIDADOS'!$C$80</c:f>
              <c:strCache>
                <c:ptCount val="1"/>
                <c:pt idx="0">
                  <c:v>Tasa de cobertura niñas (%)</c:v>
                </c:pt>
              </c:strCache>
            </c:strRef>
          </c:tx>
          <c:spPr>
            <a:ln w="19050" cap="rnd">
              <a:solidFill>
                <a:srgbClr val="C00000"/>
              </a:solidFill>
              <a:round/>
            </a:ln>
            <a:effectLst/>
          </c:spPr>
          <c:marker>
            <c:symbol val="circle"/>
            <c:size val="5"/>
            <c:spPr>
              <a:solidFill>
                <a:srgbClr val="C00000"/>
              </a:solidFill>
              <a:ln w="9525">
                <a:noFill/>
              </a:ln>
              <a:effectLst/>
            </c:spPr>
          </c:marker>
          <c:cat>
            <c:strRef>
              <c:extLst>
                <c:ext xmlns:c15="http://schemas.microsoft.com/office/drawing/2012/chart" uri="{02D57815-91ED-43cb-92C2-25804820EDAC}">
                  <c15:fullRef>
                    <c15:sqref>'6. CUIDADOS'!$J$74:$W$74</c15:sqref>
                  </c15:fullRef>
                </c:ext>
              </c:extLst>
              <c:f>('6. CUIDADOS'!$K$74:$O$74,'6. CUIDADOS'!$Q$74:$W$74)</c:f>
              <c:strCache>
                <c:ptCount val="5"/>
                <c:pt idx="0">
                  <c:v>2015-2016</c:v>
                </c:pt>
                <c:pt idx="1">
                  <c:v>2020-2021</c:v>
                </c:pt>
                <c:pt idx="2">
                  <c:v>2021-2022</c:v>
                </c:pt>
                <c:pt idx="3">
                  <c:v>2022-2023</c:v>
                </c:pt>
                <c:pt idx="4">
                  <c:v>2023-2024</c:v>
                </c:pt>
              </c:strCache>
            </c:strRef>
          </c:cat>
          <c:val>
            <c:numRef>
              <c:extLst>
                <c:ext xmlns:c15="http://schemas.microsoft.com/office/drawing/2012/chart" uri="{02D57815-91ED-43cb-92C2-25804820EDAC}">
                  <c15:fullRef>
                    <c15:sqref>('6. CUIDADOS'!$D$80,'6. CUIDADOS'!$J$80:$W$80)</c15:sqref>
                  </c15:fullRef>
                </c:ext>
              </c:extLst>
              <c:f>('6. CUIDADOS'!$J$80:$N$80,'6. CUIDADOS'!$P$80:$W$80)</c:f>
              <c:numCache>
                <c:formatCode>0.0</c:formatCode>
                <c:ptCount val="5"/>
                <c:pt idx="0">
                  <c:v>56.971094457712255</c:v>
                </c:pt>
                <c:pt idx="1">
                  <c:v>60.242731924007451</c:v>
                </c:pt>
                <c:pt idx="2">
                  <c:v>59.280610935227173</c:v>
                </c:pt>
                <c:pt idx="3">
                  <c:v>61.549661753505667</c:v>
                </c:pt>
                <c:pt idx="4">
                  <c:v>63.028019345870625</c:v>
                </c:pt>
              </c:numCache>
            </c:numRef>
          </c:val>
          <c:smooth val="0"/>
          <c:extLst>
            <c:ext xmlns:c16="http://schemas.microsoft.com/office/drawing/2014/chart" uri="{C3380CC4-5D6E-409C-BE32-E72D297353CC}">
              <c16:uniqueId val="{0000000D-3575-42A9-8346-D00EB22AD1C0}"/>
            </c:ext>
          </c:extLst>
        </c:ser>
        <c:dLbls>
          <c:showLegendKey val="0"/>
          <c:showVal val="0"/>
          <c:showCatName val="0"/>
          <c:showSerName val="0"/>
          <c:showPercent val="0"/>
          <c:showBubbleSize val="0"/>
        </c:dLbls>
        <c:marker val="1"/>
        <c:smooth val="0"/>
        <c:axId val="421849744"/>
        <c:axId val="427273232"/>
      </c:lineChart>
      <c:catAx>
        <c:axId val="4218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7273232"/>
        <c:crosses val="autoZero"/>
        <c:auto val="1"/>
        <c:lblAlgn val="ctr"/>
        <c:lblOffset val="100"/>
        <c:noMultiLvlLbl val="0"/>
      </c:catAx>
      <c:valAx>
        <c:axId val="427273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18497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_tradnl" b="1"/>
              <a:t>6.1. Porcentaje</a:t>
            </a:r>
            <a:r>
              <a:rPr lang="es-ES_tradnl" b="1" baseline="0"/>
              <a:t> de mujeres y de hombres que realizan actividades a diario según tipo de actividad </a:t>
            </a:r>
            <a:endParaRPr lang="es-ES_tradnl"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1"/>
          <c:order val="1"/>
          <c:spPr>
            <a:solidFill>
              <a:schemeClr val="accent2"/>
            </a:solidFill>
            <a:ln>
              <a:noFill/>
            </a:ln>
            <a:effectLst/>
          </c:spPr>
          <c:invertIfNegative val="0"/>
          <c:cat>
            <c:multiLvlStrRef>
              <c:f>'6. CUIDADOS'!$C$3:$D$35</c:f>
              <c:multiLvlStrCache>
                <c:ptCount val="33"/>
                <c:lvl>
                  <c:pt idx="0">
                    <c:v>Cuidados personales</c:v>
                  </c:pt>
                  <c:pt idx="1">
                    <c:v>Trabajo remunerado</c:v>
                  </c:pt>
                  <c:pt idx="2">
                    <c:v>Estudios</c:v>
                  </c:pt>
                  <c:pt idx="3">
                    <c:v>Hogar y familia</c:v>
                  </c:pt>
                  <c:pt idx="4">
                    <c:v>Trabajo voluntario y reuniones</c:v>
                  </c:pt>
                  <c:pt idx="5">
                    <c:v>Vida social y diversión</c:v>
                  </c:pt>
                  <c:pt idx="6">
                    <c:v>Deportes y actividades al aire libre</c:v>
                  </c:pt>
                  <c:pt idx="7">
                    <c:v>Aficiones e informática</c:v>
                  </c:pt>
                  <c:pt idx="8">
                    <c:v>Medios de comunicación</c:v>
                  </c:pt>
                  <c:pt idx="9">
                    <c:v>Trayectos y empleo del tiempo no especificado</c:v>
                  </c:pt>
                  <c:pt idx="10">
                    <c:v>Trayectos de ida o vuelta al trabajo</c:v>
                  </c:pt>
                  <c:pt idx="11">
                    <c:v>Cuidados personales</c:v>
                  </c:pt>
                  <c:pt idx="12">
                    <c:v>Trabajo remunerado</c:v>
                  </c:pt>
                  <c:pt idx="13">
                    <c:v>Estudios</c:v>
                  </c:pt>
                  <c:pt idx="14">
                    <c:v>Hogar y familia</c:v>
                  </c:pt>
                  <c:pt idx="15">
                    <c:v>Trabajo voluntario y reuniones</c:v>
                  </c:pt>
                  <c:pt idx="16">
                    <c:v>Vida social y diversión</c:v>
                  </c:pt>
                  <c:pt idx="17">
                    <c:v>Deportes y actividades al aire libre</c:v>
                  </c:pt>
                  <c:pt idx="18">
                    <c:v>Aficiones e informática</c:v>
                  </c:pt>
                  <c:pt idx="19">
                    <c:v>Medios de comunicación</c:v>
                  </c:pt>
                  <c:pt idx="20">
                    <c:v>Trayectos y empleo del tiempo no especificado</c:v>
                  </c:pt>
                  <c:pt idx="21">
                    <c:v>Trayectos de ida o vuelta al trabajo</c:v>
                  </c:pt>
                  <c:pt idx="22">
                    <c:v>Cuidados personales</c:v>
                  </c:pt>
                  <c:pt idx="23">
                    <c:v>Trabajo remunerado</c:v>
                  </c:pt>
                  <c:pt idx="24">
                    <c:v>Estudios</c:v>
                  </c:pt>
                  <c:pt idx="25">
                    <c:v>Hogar y familia</c:v>
                  </c:pt>
                  <c:pt idx="26">
                    <c:v>Trabajo voluntario y reuniones</c:v>
                  </c:pt>
                  <c:pt idx="27">
                    <c:v>Vida social y diversión</c:v>
                  </c:pt>
                  <c:pt idx="28">
                    <c:v>Deportes y actividades al aire libre</c:v>
                  </c:pt>
                  <c:pt idx="29">
                    <c:v>Aficiones e informática</c:v>
                  </c:pt>
                  <c:pt idx="30">
                    <c:v>Medios de comunicación</c:v>
                  </c:pt>
                  <c:pt idx="31">
                    <c:v>Trayectos y empleo del tiempo no especificado</c:v>
                  </c:pt>
                  <c:pt idx="32">
                    <c:v>Trayectos de ida o vuelta al trabajo</c:v>
                  </c:pt>
                </c:lvl>
                <c:lvl>
                  <c:pt idx="0">
                    <c:v>Hombres (%)</c:v>
                  </c:pt>
                  <c:pt idx="11">
                    <c:v>Mujeres (%)</c:v>
                  </c:pt>
                  <c:pt idx="22">
                    <c:v>Brecha (punt.porc.)</c:v>
                  </c:pt>
                </c:lvl>
              </c:multiLvlStrCache>
              <c:extLst xmlns:c15="http://schemas.microsoft.com/office/drawing/2012/chart"/>
            </c:multiLvlStrRef>
          </c:cat>
          <c:val>
            <c:numRef>
              <c:f>'6. CUIDADOS'!$F$3:$F$35</c:f>
              <c:extLst xmlns:c15="http://schemas.microsoft.com/office/drawing/2012/chart"/>
            </c:numRef>
          </c:val>
          <c:extLst xmlns:c15="http://schemas.microsoft.com/office/drawing/2012/chart">
            <c:ext xmlns:c16="http://schemas.microsoft.com/office/drawing/2014/chart" uri="{C3380CC4-5D6E-409C-BE32-E72D297353CC}">
              <c16:uniqueId val="{00000001-2C0C-40AD-9116-38456A9BBFD3}"/>
            </c:ext>
          </c:extLst>
        </c:ser>
        <c:ser>
          <c:idx val="2"/>
          <c:order val="2"/>
          <c:spPr>
            <a:solidFill>
              <a:schemeClr val="accent3"/>
            </a:solidFill>
            <a:ln>
              <a:noFill/>
            </a:ln>
            <a:effectLst/>
          </c:spPr>
          <c:invertIfNegative val="0"/>
          <c:cat>
            <c:multiLvlStrRef>
              <c:f>'6. CUIDADOS'!$C$3:$D$35</c:f>
              <c:multiLvlStrCache>
                <c:ptCount val="33"/>
                <c:lvl>
                  <c:pt idx="0">
                    <c:v>Cuidados personales</c:v>
                  </c:pt>
                  <c:pt idx="1">
                    <c:v>Trabajo remunerado</c:v>
                  </c:pt>
                  <c:pt idx="2">
                    <c:v>Estudios</c:v>
                  </c:pt>
                  <c:pt idx="3">
                    <c:v>Hogar y familia</c:v>
                  </c:pt>
                  <c:pt idx="4">
                    <c:v>Trabajo voluntario y reuniones</c:v>
                  </c:pt>
                  <c:pt idx="5">
                    <c:v>Vida social y diversión</c:v>
                  </c:pt>
                  <c:pt idx="6">
                    <c:v>Deportes y actividades al aire libre</c:v>
                  </c:pt>
                  <c:pt idx="7">
                    <c:v>Aficiones e informática</c:v>
                  </c:pt>
                  <c:pt idx="8">
                    <c:v>Medios de comunicación</c:v>
                  </c:pt>
                  <c:pt idx="9">
                    <c:v>Trayectos y empleo del tiempo no especificado</c:v>
                  </c:pt>
                  <c:pt idx="10">
                    <c:v>Trayectos de ida o vuelta al trabajo</c:v>
                  </c:pt>
                  <c:pt idx="11">
                    <c:v>Cuidados personales</c:v>
                  </c:pt>
                  <c:pt idx="12">
                    <c:v>Trabajo remunerado</c:v>
                  </c:pt>
                  <c:pt idx="13">
                    <c:v>Estudios</c:v>
                  </c:pt>
                  <c:pt idx="14">
                    <c:v>Hogar y familia</c:v>
                  </c:pt>
                  <c:pt idx="15">
                    <c:v>Trabajo voluntario y reuniones</c:v>
                  </c:pt>
                  <c:pt idx="16">
                    <c:v>Vida social y diversión</c:v>
                  </c:pt>
                  <c:pt idx="17">
                    <c:v>Deportes y actividades al aire libre</c:v>
                  </c:pt>
                  <c:pt idx="18">
                    <c:v>Aficiones e informática</c:v>
                  </c:pt>
                  <c:pt idx="19">
                    <c:v>Medios de comunicación</c:v>
                  </c:pt>
                  <c:pt idx="20">
                    <c:v>Trayectos y empleo del tiempo no especificado</c:v>
                  </c:pt>
                  <c:pt idx="21">
                    <c:v>Trayectos de ida o vuelta al trabajo</c:v>
                  </c:pt>
                  <c:pt idx="22">
                    <c:v>Cuidados personales</c:v>
                  </c:pt>
                  <c:pt idx="23">
                    <c:v>Trabajo remunerado</c:v>
                  </c:pt>
                  <c:pt idx="24">
                    <c:v>Estudios</c:v>
                  </c:pt>
                  <c:pt idx="25">
                    <c:v>Hogar y familia</c:v>
                  </c:pt>
                  <c:pt idx="26">
                    <c:v>Trabajo voluntario y reuniones</c:v>
                  </c:pt>
                  <c:pt idx="27">
                    <c:v>Vida social y diversión</c:v>
                  </c:pt>
                  <c:pt idx="28">
                    <c:v>Deportes y actividades al aire libre</c:v>
                  </c:pt>
                  <c:pt idx="29">
                    <c:v>Aficiones e informática</c:v>
                  </c:pt>
                  <c:pt idx="30">
                    <c:v>Medios de comunicación</c:v>
                  </c:pt>
                  <c:pt idx="31">
                    <c:v>Trayectos y empleo del tiempo no especificado</c:v>
                  </c:pt>
                  <c:pt idx="32">
                    <c:v>Trayectos de ida o vuelta al trabajo</c:v>
                  </c:pt>
                </c:lvl>
                <c:lvl>
                  <c:pt idx="0">
                    <c:v>Hombres (%)</c:v>
                  </c:pt>
                  <c:pt idx="11">
                    <c:v>Mujeres (%)</c:v>
                  </c:pt>
                  <c:pt idx="22">
                    <c:v>Brecha (punt.porc.)</c:v>
                  </c:pt>
                </c:lvl>
              </c:multiLvlStrCache>
              <c:extLst xmlns:c15="http://schemas.microsoft.com/office/drawing/2012/chart"/>
            </c:multiLvlStrRef>
          </c:cat>
          <c:val>
            <c:numRef>
              <c:f>'6. CUIDADOS'!$G$3:$G$35</c:f>
              <c:extLst xmlns:c15="http://schemas.microsoft.com/office/drawing/2012/chart"/>
            </c:numRef>
          </c:val>
          <c:extLst xmlns:c15="http://schemas.microsoft.com/office/drawing/2012/chart">
            <c:ext xmlns:c16="http://schemas.microsoft.com/office/drawing/2014/chart" uri="{C3380CC4-5D6E-409C-BE32-E72D297353CC}">
              <c16:uniqueId val="{00000002-2C0C-40AD-9116-38456A9BBFD3}"/>
            </c:ext>
          </c:extLst>
        </c:ser>
        <c:ser>
          <c:idx val="3"/>
          <c:order val="3"/>
          <c:spPr>
            <a:solidFill>
              <a:schemeClr val="accent4"/>
            </a:solidFill>
            <a:ln>
              <a:noFill/>
            </a:ln>
            <a:effectLst/>
          </c:spPr>
          <c:invertIfNegative val="0"/>
          <c:cat>
            <c:multiLvlStrRef>
              <c:f>'6. CUIDADOS'!$C$3:$D$35</c:f>
              <c:multiLvlStrCache>
                <c:ptCount val="33"/>
                <c:lvl>
                  <c:pt idx="0">
                    <c:v>Cuidados personales</c:v>
                  </c:pt>
                  <c:pt idx="1">
                    <c:v>Trabajo remunerado</c:v>
                  </c:pt>
                  <c:pt idx="2">
                    <c:v>Estudios</c:v>
                  </c:pt>
                  <c:pt idx="3">
                    <c:v>Hogar y familia</c:v>
                  </c:pt>
                  <c:pt idx="4">
                    <c:v>Trabajo voluntario y reuniones</c:v>
                  </c:pt>
                  <c:pt idx="5">
                    <c:v>Vida social y diversión</c:v>
                  </c:pt>
                  <c:pt idx="6">
                    <c:v>Deportes y actividades al aire libre</c:v>
                  </c:pt>
                  <c:pt idx="7">
                    <c:v>Aficiones e informática</c:v>
                  </c:pt>
                  <c:pt idx="8">
                    <c:v>Medios de comunicación</c:v>
                  </c:pt>
                  <c:pt idx="9">
                    <c:v>Trayectos y empleo del tiempo no especificado</c:v>
                  </c:pt>
                  <c:pt idx="10">
                    <c:v>Trayectos de ida o vuelta al trabajo</c:v>
                  </c:pt>
                  <c:pt idx="11">
                    <c:v>Cuidados personales</c:v>
                  </c:pt>
                  <c:pt idx="12">
                    <c:v>Trabajo remunerado</c:v>
                  </c:pt>
                  <c:pt idx="13">
                    <c:v>Estudios</c:v>
                  </c:pt>
                  <c:pt idx="14">
                    <c:v>Hogar y familia</c:v>
                  </c:pt>
                  <c:pt idx="15">
                    <c:v>Trabajo voluntario y reuniones</c:v>
                  </c:pt>
                  <c:pt idx="16">
                    <c:v>Vida social y diversión</c:v>
                  </c:pt>
                  <c:pt idx="17">
                    <c:v>Deportes y actividades al aire libre</c:v>
                  </c:pt>
                  <c:pt idx="18">
                    <c:v>Aficiones e informática</c:v>
                  </c:pt>
                  <c:pt idx="19">
                    <c:v>Medios de comunicación</c:v>
                  </c:pt>
                  <c:pt idx="20">
                    <c:v>Trayectos y empleo del tiempo no especificado</c:v>
                  </c:pt>
                  <c:pt idx="21">
                    <c:v>Trayectos de ida o vuelta al trabajo</c:v>
                  </c:pt>
                  <c:pt idx="22">
                    <c:v>Cuidados personales</c:v>
                  </c:pt>
                  <c:pt idx="23">
                    <c:v>Trabajo remunerado</c:v>
                  </c:pt>
                  <c:pt idx="24">
                    <c:v>Estudios</c:v>
                  </c:pt>
                  <c:pt idx="25">
                    <c:v>Hogar y familia</c:v>
                  </c:pt>
                  <c:pt idx="26">
                    <c:v>Trabajo voluntario y reuniones</c:v>
                  </c:pt>
                  <c:pt idx="27">
                    <c:v>Vida social y diversión</c:v>
                  </c:pt>
                  <c:pt idx="28">
                    <c:v>Deportes y actividades al aire libre</c:v>
                  </c:pt>
                  <c:pt idx="29">
                    <c:v>Aficiones e informática</c:v>
                  </c:pt>
                  <c:pt idx="30">
                    <c:v>Medios de comunicación</c:v>
                  </c:pt>
                  <c:pt idx="31">
                    <c:v>Trayectos y empleo del tiempo no especificado</c:v>
                  </c:pt>
                  <c:pt idx="32">
                    <c:v>Trayectos de ida o vuelta al trabajo</c:v>
                  </c:pt>
                </c:lvl>
                <c:lvl>
                  <c:pt idx="0">
                    <c:v>Hombres (%)</c:v>
                  </c:pt>
                  <c:pt idx="11">
                    <c:v>Mujeres (%)</c:v>
                  </c:pt>
                  <c:pt idx="22">
                    <c:v>Brecha (punt.porc.)</c:v>
                  </c:pt>
                </c:lvl>
              </c:multiLvlStrCache>
              <c:extLst xmlns:c15="http://schemas.microsoft.com/office/drawing/2012/chart"/>
            </c:multiLvlStrRef>
          </c:cat>
          <c:val>
            <c:numRef>
              <c:f>'6. CUIDADOS'!$H$3:$H$35</c:f>
              <c:extLst xmlns:c15="http://schemas.microsoft.com/office/drawing/2012/chart"/>
            </c:numRef>
          </c:val>
          <c:extLst xmlns:c15="http://schemas.microsoft.com/office/drawing/2012/chart">
            <c:ext xmlns:c16="http://schemas.microsoft.com/office/drawing/2014/chart" uri="{C3380CC4-5D6E-409C-BE32-E72D297353CC}">
              <c16:uniqueId val="{00000003-2C0C-40AD-9116-38456A9BBFD3}"/>
            </c:ext>
          </c:extLst>
        </c:ser>
        <c:ser>
          <c:idx val="4"/>
          <c:order val="4"/>
          <c:spPr>
            <a:solidFill>
              <a:schemeClr val="accent5"/>
            </a:solidFill>
            <a:ln>
              <a:noFill/>
            </a:ln>
            <a:effectLst/>
          </c:spPr>
          <c:invertIfNegative val="0"/>
          <c:dPt>
            <c:idx val="0"/>
            <c:invertIfNegative val="0"/>
            <c:bubble3D val="0"/>
            <c:spPr>
              <a:solidFill>
                <a:schemeClr val="bg2">
                  <a:lumMod val="50000"/>
                </a:schemeClr>
              </a:solidFill>
              <a:ln>
                <a:noFill/>
              </a:ln>
              <a:effectLst/>
            </c:spPr>
            <c:extLst>
              <c:ext xmlns:c16="http://schemas.microsoft.com/office/drawing/2014/chart" uri="{C3380CC4-5D6E-409C-BE32-E72D297353CC}">
                <c16:uniqueId val="{00000018-2C0C-40AD-9116-38456A9BBFD3}"/>
              </c:ext>
            </c:extLst>
          </c:dPt>
          <c:dPt>
            <c:idx val="1"/>
            <c:invertIfNegative val="0"/>
            <c:bubble3D val="0"/>
            <c:spPr>
              <a:solidFill>
                <a:schemeClr val="bg2">
                  <a:lumMod val="50000"/>
                </a:schemeClr>
              </a:solidFill>
              <a:ln>
                <a:noFill/>
              </a:ln>
              <a:effectLst/>
            </c:spPr>
            <c:extLst>
              <c:ext xmlns:c16="http://schemas.microsoft.com/office/drawing/2014/chart" uri="{C3380CC4-5D6E-409C-BE32-E72D297353CC}">
                <c16:uniqueId val="{00000017-2C0C-40AD-9116-38456A9BBFD3}"/>
              </c:ext>
            </c:extLst>
          </c:dPt>
          <c:dPt>
            <c:idx val="2"/>
            <c:invertIfNegative val="0"/>
            <c:bubble3D val="0"/>
            <c:spPr>
              <a:solidFill>
                <a:schemeClr val="bg2">
                  <a:lumMod val="50000"/>
                </a:schemeClr>
              </a:solidFill>
              <a:ln>
                <a:noFill/>
              </a:ln>
              <a:effectLst/>
            </c:spPr>
            <c:extLst>
              <c:ext xmlns:c16="http://schemas.microsoft.com/office/drawing/2014/chart" uri="{C3380CC4-5D6E-409C-BE32-E72D297353CC}">
                <c16:uniqueId val="{00000016-2C0C-40AD-9116-38456A9BBFD3}"/>
              </c:ext>
            </c:extLst>
          </c:dPt>
          <c:dPt>
            <c:idx val="3"/>
            <c:invertIfNegative val="0"/>
            <c:bubble3D val="0"/>
            <c:spPr>
              <a:solidFill>
                <a:schemeClr val="bg2">
                  <a:lumMod val="50000"/>
                </a:schemeClr>
              </a:solidFill>
              <a:ln>
                <a:noFill/>
              </a:ln>
              <a:effectLst/>
            </c:spPr>
            <c:extLst>
              <c:ext xmlns:c16="http://schemas.microsoft.com/office/drawing/2014/chart" uri="{C3380CC4-5D6E-409C-BE32-E72D297353CC}">
                <c16:uniqueId val="{00000015-2C0C-40AD-9116-38456A9BBFD3}"/>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4-2C0C-40AD-9116-38456A9BBFD3}"/>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13-2C0C-40AD-9116-38456A9BBFD3}"/>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12-2C0C-40AD-9116-38456A9BBFD3}"/>
              </c:ext>
            </c:extLst>
          </c:dPt>
          <c:dPt>
            <c:idx val="7"/>
            <c:invertIfNegative val="0"/>
            <c:bubble3D val="0"/>
            <c:spPr>
              <a:solidFill>
                <a:schemeClr val="bg2">
                  <a:lumMod val="50000"/>
                </a:schemeClr>
              </a:solidFill>
              <a:ln>
                <a:noFill/>
              </a:ln>
              <a:effectLst/>
            </c:spPr>
            <c:extLst>
              <c:ext xmlns:c16="http://schemas.microsoft.com/office/drawing/2014/chart" uri="{C3380CC4-5D6E-409C-BE32-E72D297353CC}">
                <c16:uniqueId val="{00000011-2C0C-40AD-9116-38456A9BBFD3}"/>
              </c:ext>
            </c:extLst>
          </c:dPt>
          <c:dPt>
            <c:idx val="8"/>
            <c:invertIfNegative val="0"/>
            <c:bubble3D val="0"/>
            <c:spPr>
              <a:solidFill>
                <a:schemeClr val="bg2">
                  <a:lumMod val="50000"/>
                </a:schemeClr>
              </a:solidFill>
              <a:ln>
                <a:noFill/>
              </a:ln>
              <a:effectLst/>
            </c:spPr>
            <c:extLst>
              <c:ext xmlns:c16="http://schemas.microsoft.com/office/drawing/2014/chart" uri="{C3380CC4-5D6E-409C-BE32-E72D297353CC}">
                <c16:uniqueId val="{00000010-2C0C-40AD-9116-38456A9BBFD3}"/>
              </c:ext>
            </c:extLst>
          </c:dPt>
          <c:dPt>
            <c:idx val="9"/>
            <c:invertIfNegative val="0"/>
            <c:bubble3D val="0"/>
            <c:spPr>
              <a:solidFill>
                <a:schemeClr val="bg2">
                  <a:lumMod val="50000"/>
                </a:schemeClr>
              </a:solidFill>
              <a:ln>
                <a:noFill/>
              </a:ln>
              <a:effectLst/>
            </c:spPr>
            <c:extLst>
              <c:ext xmlns:c16="http://schemas.microsoft.com/office/drawing/2014/chart" uri="{C3380CC4-5D6E-409C-BE32-E72D297353CC}">
                <c16:uniqueId val="{0000000F-2C0C-40AD-9116-38456A9BBFD3}"/>
              </c:ext>
            </c:extLst>
          </c:dPt>
          <c:dPt>
            <c:idx val="10"/>
            <c:invertIfNegative val="0"/>
            <c:bubble3D val="0"/>
            <c:spPr>
              <a:solidFill>
                <a:schemeClr val="bg2">
                  <a:lumMod val="50000"/>
                </a:schemeClr>
              </a:solidFill>
              <a:ln>
                <a:noFill/>
              </a:ln>
              <a:effectLst/>
            </c:spPr>
            <c:extLst>
              <c:ext xmlns:c16="http://schemas.microsoft.com/office/drawing/2014/chart" uri="{C3380CC4-5D6E-409C-BE32-E72D297353CC}">
                <c16:uniqueId val="{0000000E-2C0C-40AD-9116-38456A9BBFD3}"/>
              </c:ext>
            </c:extLst>
          </c:dPt>
          <c:dPt>
            <c:idx val="11"/>
            <c:invertIfNegative val="0"/>
            <c:bubble3D val="0"/>
            <c:spPr>
              <a:solidFill>
                <a:srgbClr val="C00000"/>
              </a:solidFill>
              <a:ln>
                <a:noFill/>
              </a:ln>
              <a:effectLst/>
            </c:spPr>
            <c:extLst>
              <c:ext xmlns:c16="http://schemas.microsoft.com/office/drawing/2014/chart" uri="{C3380CC4-5D6E-409C-BE32-E72D297353CC}">
                <c16:uniqueId val="{0000002A-F654-4D79-919B-2041F88FC2B2}"/>
              </c:ext>
            </c:extLst>
          </c:dPt>
          <c:dPt>
            <c:idx val="12"/>
            <c:invertIfNegative val="0"/>
            <c:bubble3D val="0"/>
            <c:spPr>
              <a:solidFill>
                <a:srgbClr val="C00000"/>
              </a:solidFill>
              <a:ln>
                <a:noFill/>
              </a:ln>
              <a:effectLst/>
            </c:spPr>
            <c:extLst>
              <c:ext xmlns:c16="http://schemas.microsoft.com/office/drawing/2014/chart" uri="{C3380CC4-5D6E-409C-BE32-E72D297353CC}">
                <c16:uniqueId val="{0000002B-F654-4D79-919B-2041F88FC2B2}"/>
              </c:ext>
            </c:extLst>
          </c:dPt>
          <c:dPt>
            <c:idx val="13"/>
            <c:invertIfNegative val="0"/>
            <c:bubble3D val="0"/>
            <c:spPr>
              <a:solidFill>
                <a:srgbClr val="C00000"/>
              </a:solidFill>
              <a:ln>
                <a:noFill/>
              </a:ln>
              <a:effectLst/>
            </c:spPr>
            <c:extLst>
              <c:ext xmlns:c16="http://schemas.microsoft.com/office/drawing/2014/chart" uri="{C3380CC4-5D6E-409C-BE32-E72D297353CC}">
                <c16:uniqueId val="{0000002C-F654-4D79-919B-2041F88FC2B2}"/>
              </c:ext>
            </c:extLst>
          </c:dPt>
          <c:dPt>
            <c:idx val="14"/>
            <c:invertIfNegative val="0"/>
            <c:bubble3D val="0"/>
            <c:spPr>
              <a:solidFill>
                <a:srgbClr val="C00000"/>
              </a:solidFill>
              <a:ln>
                <a:noFill/>
              </a:ln>
              <a:effectLst/>
            </c:spPr>
            <c:extLst>
              <c:ext xmlns:c16="http://schemas.microsoft.com/office/drawing/2014/chart" uri="{C3380CC4-5D6E-409C-BE32-E72D297353CC}">
                <c16:uniqueId val="{0000002D-F654-4D79-919B-2041F88FC2B2}"/>
              </c:ext>
            </c:extLst>
          </c:dPt>
          <c:dPt>
            <c:idx val="15"/>
            <c:invertIfNegative val="0"/>
            <c:bubble3D val="0"/>
            <c:spPr>
              <a:solidFill>
                <a:srgbClr val="C00000"/>
              </a:solidFill>
              <a:ln>
                <a:noFill/>
              </a:ln>
              <a:effectLst/>
            </c:spPr>
            <c:extLst>
              <c:ext xmlns:c16="http://schemas.microsoft.com/office/drawing/2014/chart" uri="{C3380CC4-5D6E-409C-BE32-E72D297353CC}">
                <c16:uniqueId val="{0000002E-F654-4D79-919B-2041F88FC2B2}"/>
              </c:ext>
            </c:extLst>
          </c:dPt>
          <c:dPt>
            <c:idx val="16"/>
            <c:invertIfNegative val="0"/>
            <c:bubble3D val="0"/>
            <c:spPr>
              <a:solidFill>
                <a:srgbClr val="C00000"/>
              </a:solidFill>
              <a:ln>
                <a:noFill/>
              </a:ln>
              <a:effectLst/>
            </c:spPr>
            <c:extLst>
              <c:ext xmlns:c16="http://schemas.microsoft.com/office/drawing/2014/chart" uri="{C3380CC4-5D6E-409C-BE32-E72D297353CC}">
                <c16:uniqueId val="{0000002F-F654-4D79-919B-2041F88FC2B2}"/>
              </c:ext>
            </c:extLst>
          </c:dPt>
          <c:dPt>
            <c:idx val="17"/>
            <c:invertIfNegative val="0"/>
            <c:bubble3D val="0"/>
            <c:spPr>
              <a:solidFill>
                <a:srgbClr val="C00000"/>
              </a:solidFill>
              <a:ln>
                <a:noFill/>
              </a:ln>
              <a:effectLst/>
            </c:spPr>
            <c:extLst>
              <c:ext xmlns:c16="http://schemas.microsoft.com/office/drawing/2014/chart" uri="{C3380CC4-5D6E-409C-BE32-E72D297353CC}">
                <c16:uniqueId val="{00000030-F654-4D79-919B-2041F88FC2B2}"/>
              </c:ext>
            </c:extLst>
          </c:dPt>
          <c:dPt>
            <c:idx val="18"/>
            <c:invertIfNegative val="0"/>
            <c:bubble3D val="0"/>
            <c:spPr>
              <a:solidFill>
                <a:srgbClr val="C00000"/>
              </a:solidFill>
              <a:ln>
                <a:noFill/>
              </a:ln>
              <a:effectLst/>
            </c:spPr>
            <c:extLst>
              <c:ext xmlns:c16="http://schemas.microsoft.com/office/drawing/2014/chart" uri="{C3380CC4-5D6E-409C-BE32-E72D297353CC}">
                <c16:uniqueId val="{00000031-F654-4D79-919B-2041F88FC2B2}"/>
              </c:ext>
            </c:extLst>
          </c:dPt>
          <c:dPt>
            <c:idx val="19"/>
            <c:invertIfNegative val="0"/>
            <c:bubble3D val="0"/>
            <c:spPr>
              <a:solidFill>
                <a:srgbClr val="C00000"/>
              </a:solidFill>
              <a:ln>
                <a:noFill/>
              </a:ln>
              <a:effectLst/>
            </c:spPr>
            <c:extLst>
              <c:ext xmlns:c16="http://schemas.microsoft.com/office/drawing/2014/chart" uri="{C3380CC4-5D6E-409C-BE32-E72D297353CC}">
                <c16:uniqueId val="{00000032-F654-4D79-919B-2041F88FC2B2}"/>
              </c:ext>
            </c:extLst>
          </c:dPt>
          <c:dPt>
            <c:idx val="20"/>
            <c:invertIfNegative val="0"/>
            <c:bubble3D val="0"/>
            <c:spPr>
              <a:solidFill>
                <a:srgbClr val="C00000"/>
              </a:solidFill>
              <a:ln>
                <a:noFill/>
              </a:ln>
              <a:effectLst/>
            </c:spPr>
            <c:extLst>
              <c:ext xmlns:c16="http://schemas.microsoft.com/office/drawing/2014/chart" uri="{C3380CC4-5D6E-409C-BE32-E72D297353CC}">
                <c16:uniqueId val="{00000033-F654-4D79-919B-2041F88FC2B2}"/>
              </c:ext>
            </c:extLst>
          </c:dPt>
          <c:dPt>
            <c:idx val="21"/>
            <c:invertIfNegative val="0"/>
            <c:bubble3D val="0"/>
            <c:spPr>
              <a:solidFill>
                <a:srgbClr val="C00000"/>
              </a:solidFill>
              <a:ln>
                <a:noFill/>
              </a:ln>
              <a:effectLst/>
            </c:spPr>
            <c:extLst>
              <c:ext xmlns:c16="http://schemas.microsoft.com/office/drawing/2014/chart" uri="{C3380CC4-5D6E-409C-BE32-E72D297353CC}">
                <c16:uniqueId val="{00000034-F654-4D79-919B-2041F88FC2B2}"/>
              </c:ext>
            </c:extLst>
          </c:dPt>
          <c:dPt>
            <c:idx val="23"/>
            <c:invertIfNegative val="0"/>
            <c:bubble3D val="0"/>
            <c:spPr>
              <a:solidFill>
                <a:srgbClr val="FF8989"/>
              </a:solidFill>
              <a:ln>
                <a:noFill/>
              </a:ln>
              <a:effectLst/>
            </c:spPr>
            <c:extLst>
              <c:ext xmlns:c16="http://schemas.microsoft.com/office/drawing/2014/chart" uri="{C3380CC4-5D6E-409C-BE32-E72D297353CC}">
                <c16:uniqueId val="{0000000D-2C0C-40AD-9116-38456A9BBFD3}"/>
              </c:ext>
            </c:extLst>
          </c:dPt>
          <c:dPt>
            <c:idx val="24"/>
            <c:invertIfNegative val="0"/>
            <c:bubble3D val="0"/>
            <c:spPr>
              <a:solidFill>
                <a:srgbClr val="FF5050"/>
              </a:solidFill>
              <a:ln>
                <a:noFill/>
              </a:ln>
              <a:effectLst/>
            </c:spPr>
            <c:extLst>
              <c:ext xmlns:c16="http://schemas.microsoft.com/office/drawing/2014/chart" uri="{C3380CC4-5D6E-409C-BE32-E72D297353CC}">
                <c16:uniqueId val="{00000019-2C0C-40AD-9116-38456A9BBFD3}"/>
              </c:ext>
            </c:extLst>
          </c:dPt>
          <c:dPt>
            <c:idx val="25"/>
            <c:invertIfNegative val="0"/>
            <c:bubble3D val="0"/>
            <c:spPr>
              <a:solidFill>
                <a:srgbClr val="FF8989"/>
              </a:solidFill>
              <a:ln>
                <a:noFill/>
              </a:ln>
              <a:effectLst/>
            </c:spPr>
            <c:extLst>
              <c:ext xmlns:c16="http://schemas.microsoft.com/office/drawing/2014/chart" uri="{C3380CC4-5D6E-409C-BE32-E72D297353CC}">
                <c16:uniqueId val="{00000009-2C0C-40AD-9116-38456A9BBFD3}"/>
              </c:ext>
            </c:extLst>
          </c:dPt>
          <c:dPt>
            <c:idx val="26"/>
            <c:invertIfNegative val="0"/>
            <c:bubble3D val="0"/>
            <c:spPr>
              <a:solidFill>
                <a:srgbClr val="FF8989"/>
              </a:solidFill>
              <a:ln>
                <a:noFill/>
              </a:ln>
              <a:effectLst/>
            </c:spPr>
            <c:extLst>
              <c:ext xmlns:c16="http://schemas.microsoft.com/office/drawing/2014/chart" uri="{C3380CC4-5D6E-409C-BE32-E72D297353CC}">
                <c16:uniqueId val="{00000008-2C0C-40AD-9116-38456A9BBFD3}"/>
              </c:ext>
            </c:extLst>
          </c:dPt>
          <c:dPt>
            <c:idx val="27"/>
            <c:invertIfNegative val="0"/>
            <c:bubble3D val="0"/>
            <c:spPr>
              <a:solidFill>
                <a:srgbClr val="FF8989"/>
              </a:solidFill>
              <a:ln>
                <a:noFill/>
              </a:ln>
              <a:effectLst/>
            </c:spPr>
            <c:extLst>
              <c:ext xmlns:c16="http://schemas.microsoft.com/office/drawing/2014/chart" uri="{C3380CC4-5D6E-409C-BE32-E72D297353CC}">
                <c16:uniqueId val="{00000006-2C0C-40AD-9116-38456A9BBFD3}"/>
              </c:ext>
            </c:extLst>
          </c:dPt>
          <c:dPt>
            <c:idx val="28"/>
            <c:invertIfNegative val="0"/>
            <c:bubble3D val="0"/>
            <c:spPr>
              <a:solidFill>
                <a:srgbClr val="FF8989"/>
              </a:solidFill>
              <a:ln>
                <a:noFill/>
              </a:ln>
              <a:effectLst/>
            </c:spPr>
            <c:extLst>
              <c:ext xmlns:c16="http://schemas.microsoft.com/office/drawing/2014/chart" uri="{C3380CC4-5D6E-409C-BE32-E72D297353CC}">
                <c16:uniqueId val="{0000000C-2C0C-40AD-9116-38456A9BBFD3}"/>
              </c:ext>
            </c:extLst>
          </c:dPt>
          <c:dPt>
            <c:idx val="29"/>
            <c:invertIfNegative val="0"/>
            <c:bubble3D val="0"/>
            <c:spPr>
              <a:solidFill>
                <a:srgbClr val="FF8989"/>
              </a:solidFill>
              <a:ln>
                <a:noFill/>
              </a:ln>
              <a:effectLst/>
            </c:spPr>
            <c:extLst>
              <c:ext xmlns:c16="http://schemas.microsoft.com/office/drawing/2014/chart" uri="{C3380CC4-5D6E-409C-BE32-E72D297353CC}">
                <c16:uniqueId val="{0000000B-2C0C-40AD-9116-38456A9BBFD3}"/>
              </c:ext>
            </c:extLst>
          </c:dPt>
          <c:dPt>
            <c:idx val="30"/>
            <c:invertIfNegative val="0"/>
            <c:bubble3D val="0"/>
            <c:spPr>
              <a:solidFill>
                <a:srgbClr val="FF8989"/>
              </a:solidFill>
              <a:ln>
                <a:noFill/>
              </a:ln>
              <a:effectLst/>
            </c:spPr>
            <c:extLst>
              <c:ext xmlns:c16="http://schemas.microsoft.com/office/drawing/2014/chart" uri="{C3380CC4-5D6E-409C-BE32-E72D297353CC}">
                <c16:uniqueId val="{00000005-2C0C-40AD-9116-38456A9BBFD3}"/>
              </c:ext>
            </c:extLst>
          </c:dPt>
          <c:dPt>
            <c:idx val="31"/>
            <c:invertIfNegative val="0"/>
            <c:bubble3D val="0"/>
            <c:spPr>
              <a:solidFill>
                <a:srgbClr val="FF8989"/>
              </a:solidFill>
              <a:ln>
                <a:noFill/>
              </a:ln>
              <a:effectLst/>
            </c:spPr>
            <c:extLst>
              <c:ext xmlns:c16="http://schemas.microsoft.com/office/drawing/2014/chart" uri="{C3380CC4-5D6E-409C-BE32-E72D297353CC}">
                <c16:uniqueId val="{0000000A-2C0C-40AD-9116-38456A9BBFD3}"/>
              </c:ext>
            </c:extLst>
          </c:dPt>
          <c:dPt>
            <c:idx val="32"/>
            <c:invertIfNegative val="0"/>
            <c:bubble3D val="0"/>
            <c:spPr>
              <a:solidFill>
                <a:srgbClr val="FF8989"/>
              </a:solidFill>
              <a:ln>
                <a:noFill/>
              </a:ln>
              <a:effectLst/>
            </c:spPr>
            <c:extLst>
              <c:ext xmlns:c16="http://schemas.microsoft.com/office/drawing/2014/chart" uri="{C3380CC4-5D6E-409C-BE32-E72D297353CC}">
                <c16:uniqueId val="{00000007-2C0C-40AD-9116-38456A9BBFD3}"/>
              </c:ext>
            </c:extLst>
          </c:dPt>
          <c:dLbls>
            <c:dLbl>
              <c:idx val="2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0C-40AD-9116-38456A9BBFD3}"/>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0C-40AD-9116-38456A9BBFD3}"/>
                </c:ext>
              </c:extLst>
            </c:dLbl>
            <c:dLbl>
              <c:idx val="2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0C-40AD-9116-38456A9BBFD3}"/>
                </c:ext>
              </c:extLst>
            </c:dLbl>
            <c:dLbl>
              <c:idx val="2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0C-40AD-9116-38456A9BBFD3}"/>
                </c:ext>
              </c:extLst>
            </c:dLbl>
            <c:dLbl>
              <c:idx val="2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0C-40AD-9116-38456A9BBFD3}"/>
                </c:ext>
              </c:extLst>
            </c:dLbl>
            <c:dLbl>
              <c:idx val="2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0C-40AD-9116-38456A9BBFD3}"/>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0C-40AD-9116-38456A9BBFD3}"/>
                </c:ext>
              </c:extLst>
            </c:dLbl>
            <c:dLbl>
              <c:idx val="3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0C-40AD-9116-38456A9BBFD3}"/>
                </c:ext>
              </c:extLst>
            </c:dLbl>
            <c:dLbl>
              <c:idx val="3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0C-40AD-9116-38456A9BBF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 CUIDADOS'!$C$3:$D$35</c:f>
              <c:multiLvlStrCache>
                <c:ptCount val="33"/>
                <c:lvl>
                  <c:pt idx="0">
                    <c:v>Cuidados personales</c:v>
                  </c:pt>
                  <c:pt idx="1">
                    <c:v>Trabajo remunerado</c:v>
                  </c:pt>
                  <c:pt idx="2">
                    <c:v>Estudios</c:v>
                  </c:pt>
                  <c:pt idx="3">
                    <c:v>Hogar y familia</c:v>
                  </c:pt>
                  <c:pt idx="4">
                    <c:v>Trabajo voluntario y reuniones</c:v>
                  </c:pt>
                  <c:pt idx="5">
                    <c:v>Vida social y diversión</c:v>
                  </c:pt>
                  <c:pt idx="6">
                    <c:v>Deportes y actividades al aire libre</c:v>
                  </c:pt>
                  <c:pt idx="7">
                    <c:v>Aficiones e informática</c:v>
                  </c:pt>
                  <c:pt idx="8">
                    <c:v>Medios de comunicación</c:v>
                  </c:pt>
                  <c:pt idx="9">
                    <c:v>Trayectos y empleo del tiempo no especificado</c:v>
                  </c:pt>
                  <c:pt idx="10">
                    <c:v>Trayectos de ida o vuelta al trabajo</c:v>
                  </c:pt>
                  <c:pt idx="11">
                    <c:v>Cuidados personales</c:v>
                  </c:pt>
                  <c:pt idx="12">
                    <c:v>Trabajo remunerado</c:v>
                  </c:pt>
                  <c:pt idx="13">
                    <c:v>Estudios</c:v>
                  </c:pt>
                  <c:pt idx="14">
                    <c:v>Hogar y familia</c:v>
                  </c:pt>
                  <c:pt idx="15">
                    <c:v>Trabajo voluntario y reuniones</c:v>
                  </c:pt>
                  <c:pt idx="16">
                    <c:v>Vida social y diversión</c:v>
                  </c:pt>
                  <c:pt idx="17">
                    <c:v>Deportes y actividades al aire libre</c:v>
                  </c:pt>
                  <c:pt idx="18">
                    <c:v>Aficiones e informática</c:v>
                  </c:pt>
                  <c:pt idx="19">
                    <c:v>Medios de comunicación</c:v>
                  </c:pt>
                  <c:pt idx="20">
                    <c:v>Trayectos y empleo del tiempo no especificado</c:v>
                  </c:pt>
                  <c:pt idx="21">
                    <c:v>Trayectos de ida o vuelta al trabajo</c:v>
                  </c:pt>
                  <c:pt idx="22">
                    <c:v>Cuidados personales</c:v>
                  </c:pt>
                  <c:pt idx="23">
                    <c:v>Trabajo remunerado</c:v>
                  </c:pt>
                  <c:pt idx="24">
                    <c:v>Estudios</c:v>
                  </c:pt>
                  <c:pt idx="25">
                    <c:v>Hogar y familia</c:v>
                  </c:pt>
                  <c:pt idx="26">
                    <c:v>Trabajo voluntario y reuniones</c:v>
                  </c:pt>
                  <c:pt idx="27">
                    <c:v>Vida social y diversión</c:v>
                  </c:pt>
                  <c:pt idx="28">
                    <c:v>Deportes y actividades al aire libre</c:v>
                  </c:pt>
                  <c:pt idx="29">
                    <c:v>Aficiones e informática</c:v>
                  </c:pt>
                  <c:pt idx="30">
                    <c:v>Medios de comunicación</c:v>
                  </c:pt>
                  <c:pt idx="31">
                    <c:v>Trayectos y empleo del tiempo no especificado</c:v>
                  </c:pt>
                  <c:pt idx="32">
                    <c:v>Trayectos de ida o vuelta al trabajo</c:v>
                  </c:pt>
                </c:lvl>
                <c:lvl>
                  <c:pt idx="0">
                    <c:v>Hombres (%)</c:v>
                  </c:pt>
                  <c:pt idx="11">
                    <c:v>Mujeres (%)</c:v>
                  </c:pt>
                  <c:pt idx="22">
                    <c:v>Brecha (punt.porc.)</c:v>
                  </c:pt>
                </c:lvl>
              </c:multiLvlStrCache>
            </c:multiLvlStrRef>
          </c:cat>
          <c:val>
            <c:numRef>
              <c:f>'6. CUIDADOS'!$I$3:$I$35</c:f>
              <c:numCache>
                <c:formatCode>0.0</c:formatCode>
                <c:ptCount val="33"/>
                <c:pt idx="0">
                  <c:v>100</c:v>
                </c:pt>
                <c:pt idx="1">
                  <c:v>38.700000000000003</c:v>
                </c:pt>
                <c:pt idx="2">
                  <c:v>12.7</c:v>
                </c:pt>
                <c:pt idx="3">
                  <c:v>76.3</c:v>
                </c:pt>
                <c:pt idx="4">
                  <c:v>8.9</c:v>
                </c:pt>
                <c:pt idx="5">
                  <c:v>50.6</c:v>
                </c:pt>
                <c:pt idx="6">
                  <c:v>47.2</c:v>
                </c:pt>
                <c:pt idx="7">
                  <c:v>40.1</c:v>
                </c:pt>
                <c:pt idx="8">
                  <c:v>85.5</c:v>
                </c:pt>
                <c:pt idx="9">
                  <c:v>83.3</c:v>
                </c:pt>
                <c:pt idx="10">
                  <c:v>35.700000000000003</c:v>
                </c:pt>
                <c:pt idx="11">
                  <c:v>100</c:v>
                </c:pt>
                <c:pt idx="12">
                  <c:v>26.9</c:v>
                </c:pt>
                <c:pt idx="13">
                  <c:v>12.4</c:v>
                </c:pt>
                <c:pt idx="14">
                  <c:v>89.7</c:v>
                </c:pt>
                <c:pt idx="15">
                  <c:v>15.5</c:v>
                </c:pt>
                <c:pt idx="16">
                  <c:v>54.1</c:v>
                </c:pt>
                <c:pt idx="17">
                  <c:v>40.9</c:v>
                </c:pt>
                <c:pt idx="18">
                  <c:v>30.1</c:v>
                </c:pt>
                <c:pt idx="19">
                  <c:v>88.5</c:v>
                </c:pt>
                <c:pt idx="20">
                  <c:v>79.8</c:v>
                </c:pt>
                <c:pt idx="21">
                  <c:v>25.4</c:v>
                </c:pt>
                <c:pt idx="22">
                  <c:v>0</c:v>
                </c:pt>
                <c:pt idx="23">
                  <c:v>-11.800000000000004</c:v>
                </c:pt>
                <c:pt idx="24">
                  <c:v>-0.29999999999999893</c:v>
                </c:pt>
                <c:pt idx="25">
                  <c:v>13.400000000000006</c:v>
                </c:pt>
                <c:pt idx="26">
                  <c:v>6.6</c:v>
                </c:pt>
                <c:pt idx="27">
                  <c:v>3.5</c:v>
                </c:pt>
                <c:pt idx="28">
                  <c:v>-6.3000000000000043</c:v>
                </c:pt>
                <c:pt idx="29">
                  <c:v>-10</c:v>
                </c:pt>
                <c:pt idx="30">
                  <c:v>3</c:v>
                </c:pt>
                <c:pt idx="31">
                  <c:v>-3.5</c:v>
                </c:pt>
                <c:pt idx="32">
                  <c:v>-10.300000000000004</c:v>
                </c:pt>
              </c:numCache>
            </c:numRef>
          </c:val>
          <c:extLst>
            <c:ext xmlns:c16="http://schemas.microsoft.com/office/drawing/2014/chart" uri="{C3380CC4-5D6E-409C-BE32-E72D297353CC}">
              <c16:uniqueId val="{00000004-2C0C-40AD-9116-38456A9BBFD3}"/>
            </c:ext>
          </c:extLst>
        </c:ser>
        <c:dLbls>
          <c:showLegendKey val="0"/>
          <c:showVal val="0"/>
          <c:showCatName val="0"/>
          <c:showSerName val="0"/>
          <c:showPercent val="0"/>
          <c:showBubbleSize val="0"/>
        </c:dLbls>
        <c:gapWidth val="182"/>
        <c:axId val="716814744"/>
        <c:axId val="716276152"/>
        <c:extLst>
          <c:ext xmlns:c15="http://schemas.microsoft.com/office/drawing/2012/chart" uri="{02D57815-91ED-43cb-92C2-25804820EDAC}">
            <c15:filteredBarSeries>
              <c15:ser>
                <c:idx val="0"/>
                <c:order val="0"/>
                <c:spPr>
                  <a:solidFill>
                    <a:schemeClr val="accent1"/>
                  </a:solidFill>
                  <a:ln>
                    <a:noFill/>
                  </a:ln>
                  <a:effectLst/>
                </c:spPr>
                <c:invertIfNegative val="0"/>
                <c:cat>
                  <c:multiLvlStrRef>
                    <c:extLst>
                      <c:ext uri="{02D57815-91ED-43cb-92C2-25804820EDAC}">
                        <c15:formulaRef>
                          <c15:sqref>'6. CUIDADOS'!$C$3:$D$35</c15:sqref>
                        </c15:formulaRef>
                      </c:ext>
                    </c:extLst>
                    <c:multiLvlStrCache>
                      <c:ptCount val="33"/>
                      <c:lvl>
                        <c:pt idx="0">
                          <c:v>Cuidados personales</c:v>
                        </c:pt>
                        <c:pt idx="1">
                          <c:v>Trabajo remunerado</c:v>
                        </c:pt>
                        <c:pt idx="2">
                          <c:v>Estudios</c:v>
                        </c:pt>
                        <c:pt idx="3">
                          <c:v>Hogar y familia</c:v>
                        </c:pt>
                        <c:pt idx="4">
                          <c:v>Trabajo voluntario y reuniones</c:v>
                        </c:pt>
                        <c:pt idx="5">
                          <c:v>Vida social y diversión</c:v>
                        </c:pt>
                        <c:pt idx="6">
                          <c:v>Deportes y actividades al aire libre</c:v>
                        </c:pt>
                        <c:pt idx="7">
                          <c:v>Aficiones e informática</c:v>
                        </c:pt>
                        <c:pt idx="8">
                          <c:v>Medios de comunicación</c:v>
                        </c:pt>
                        <c:pt idx="9">
                          <c:v>Trayectos y empleo del tiempo no especificado</c:v>
                        </c:pt>
                        <c:pt idx="10">
                          <c:v>Trayectos de ida o vuelta al trabajo</c:v>
                        </c:pt>
                        <c:pt idx="11">
                          <c:v>Cuidados personales</c:v>
                        </c:pt>
                        <c:pt idx="12">
                          <c:v>Trabajo remunerado</c:v>
                        </c:pt>
                        <c:pt idx="13">
                          <c:v>Estudios</c:v>
                        </c:pt>
                        <c:pt idx="14">
                          <c:v>Hogar y familia</c:v>
                        </c:pt>
                        <c:pt idx="15">
                          <c:v>Trabajo voluntario y reuniones</c:v>
                        </c:pt>
                        <c:pt idx="16">
                          <c:v>Vida social y diversión</c:v>
                        </c:pt>
                        <c:pt idx="17">
                          <c:v>Deportes y actividades al aire libre</c:v>
                        </c:pt>
                        <c:pt idx="18">
                          <c:v>Aficiones e informática</c:v>
                        </c:pt>
                        <c:pt idx="19">
                          <c:v>Medios de comunicación</c:v>
                        </c:pt>
                        <c:pt idx="20">
                          <c:v>Trayectos y empleo del tiempo no especificado</c:v>
                        </c:pt>
                        <c:pt idx="21">
                          <c:v>Trayectos de ida o vuelta al trabajo</c:v>
                        </c:pt>
                        <c:pt idx="22">
                          <c:v>Cuidados personales</c:v>
                        </c:pt>
                        <c:pt idx="23">
                          <c:v>Trabajo remunerado</c:v>
                        </c:pt>
                        <c:pt idx="24">
                          <c:v>Estudios</c:v>
                        </c:pt>
                        <c:pt idx="25">
                          <c:v>Hogar y familia</c:v>
                        </c:pt>
                        <c:pt idx="26">
                          <c:v>Trabajo voluntario y reuniones</c:v>
                        </c:pt>
                        <c:pt idx="27">
                          <c:v>Vida social y diversión</c:v>
                        </c:pt>
                        <c:pt idx="28">
                          <c:v>Deportes y actividades al aire libre</c:v>
                        </c:pt>
                        <c:pt idx="29">
                          <c:v>Aficiones e informática</c:v>
                        </c:pt>
                        <c:pt idx="30">
                          <c:v>Medios de comunicación</c:v>
                        </c:pt>
                        <c:pt idx="31">
                          <c:v>Trayectos y empleo del tiempo no especificado</c:v>
                        </c:pt>
                        <c:pt idx="32">
                          <c:v>Trayectos de ida o vuelta al trabajo</c:v>
                        </c:pt>
                      </c:lvl>
                      <c:lvl>
                        <c:pt idx="0">
                          <c:v>Hombres (%)</c:v>
                        </c:pt>
                        <c:pt idx="11">
                          <c:v>Mujeres (%)</c:v>
                        </c:pt>
                        <c:pt idx="22">
                          <c:v>Brecha (punt.porc.)</c:v>
                        </c:pt>
                      </c:lvl>
                    </c:multiLvlStrCache>
                  </c:multiLvlStrRef>
                </c:cat>
                <c:val>
                  <c:numRef>
                    <c:extLst>
                      <c:ext uri="{02D57815-91ED-43cb-92C2-25804820EDAC}">
                        <c15:formulaRef>
                          <c15:sqref>'6. CUIDADOS'!$E$3:$E$35</c15:sqref>
                        </c15:formulaRef>
                      </c:ext>
                    </c:extLst>
                    <c:numCache>
                      <c:formatCode>General</c:formatCode>
                      <c:ptCount val="33"/>
                    </c:numCache>
                  </c:numRef>
                </c:val>
                <c:extLst>
                  <c:ext xmlns:c16="http://schemas.microsoft.com/office/drawing/2014/chart" uri="{C3380CC4-5D6E-409C-BE32-E72D297353CC}">
                    <c16:uniqueId val="{00000000-2C0C-40AD-9116-38456A9BBFD3}"/>
                  </c:ext>
                </c:extLst>
              </c15:ser>
            </c15:filteredBarSeries>
          </c:ext>
        </c:extLst>
      </c:barChart>
      <c:catAx>
        <c:axId val="716814744"/>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6276152"/>
        <c:crosses val="autoZero"/>
        <c:auto val="1"/>
        <c:lblAlgn val="ctr"/>
        <c:lblOffset val="100"/>
        <c:noMultiLvlLbl val="0"/>
      </c:catAx>
      <c:valAx>
        <c:axId val="716276152"/>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68147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_tradnl" b="1"/>
              <a:t>6.2. Grado de participación en cuidados a menores o personas dependientes dentro del hogar</a:t>
            </a:r>
            <a:r>
              <a:rPr lang="es-ES_tradnl" b="1" baseline="0"/>
              <a:t> </a:t>
            </a:r>
            <a:endParaRPr lang="es-ES_tradnl"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'6. CUIDADOS'!$U$36</c:f>
              <c:strCache>
                <c:ptCount val="1"/>
                <c:pt idx="0">
                  <c:v>2021</c:v>
                </c:pt>
              </c:strCache>
            </c:strRef>
          </c:tx>
          <c:spPr>
            <a:solidFill>
              <a:schemeClr val="bg2">
                <a:lumMod val="50000"/>
              </a:schemeClr>
            </a:solidFill>
            <a:ln>
              <a:noFill/>
            </a:ln>
            <a:effectLst/>
          </c:spPr>
          <c:invertIfNegative val="0"/>
          <c:dPt>
            <c:idx val="0"/>
            <c:invertIfNegative val="0"/>
            <c:bubble3D val="0"/>
            <c:spPr>
              <a:solidFill>
                <a:schemeClr val="bg2">
                  <a:lumMod val="50000"/>
                </a:schemeClr>
              </a:solidFill>
              <a:ln>
                <a:noFill/>
              </a:ln>
              <a:effectLst/>
            </c:spPr>
            <c:extLst>
              <c:ext xmlns:c16="http://schemas.microsoft.com/office/drawing/2014/chart" uri="{C3380CC4-5D6E-409C-BE32-E72D297353CC}">
                <c16:uniqueId val="{0000003D-4BC1-4003-BD4D-F5719FA99598}"/>
              </c:ext>
            </c:extLst>
          </c:dPt>
          <c:dPt>
            <c:idx val="1"/>
            <c:invertIfNegative val="0"/>
            <c:bubble3D val="0"/>
            <c:spPr>
              <a:solidFill>
                <a:schemeClr val="bg2">
                  <a:lumMod val="50000"/>
                </a:schemeClr>
              </a:solidFill>
              <a:ln>
                <a:noFill/>
              </a:ln>
              <a:effectLst/>
            </c:spPr>
            <c:extLst>
              <c:ext xmlns:c16="http://schemas.microsoft.com/office/drawing/2014/chart" uri="{C3380CC4-5D6E-409C-BE32-E72D297353CC}">
                <c16:uniqueId val="{0000003E-4BC1-4003-BD4D-F5719FA99598}"/>
              </c:ext>
            </c:extLst>
          </c:dPt>
          <c:dPt>
            <c:idx val="2"/>
            <c:invertIfNegative val="0"/>
            <c:bubble3D val="0"/>
            <c:spPr>
              <a:solidFill>
                <a:schemeClr val="bg2">
                  <a:lumMod val="50000"/>
                </a:schemeClr>
              </a:solidFill>
              <a:ln>
                <a:noFill/>
              </a:ln>
              <a:effectLst/>
            </c:spPr>
            <c:extLst>
              <c:ext xmlns:c16="http://schemas.microsoft.com/office/drawing/2014/chart" uri="{C3380CC4-5D6E-409C-BE32-E72D297353CC}">
                <c16:uniqueId val="{0000003F-4BC1-4003-BD4D-F5719FA99598}"/>
              </c:ext>
            </c:extLst>
          </c:dPt>
          <c:dPt>
            <c:idx val="3"/>
            <c:invertIfNegative val="0"/>
            <c:bubble3D val="0"/>
            <c:spPr>
              <a:solidFill>
                <a:schemeClr val="bg2">
                  <a:lumMod val="50000"/>
                </a:schemeClr>
              </a:solidFill>
              <a:ln>
                <a:noFill/>
              </a:ln>
              <a:effectLst/>
            </c:spPr>
            <c:extLst>
              <c:ext xmlns:c16="http://schemas.microsoft.com/office/drawing/2014/chart" uri="{C3380CC4-5D6E-409C-BE32-E72D297353CC}">
                <c16:uniqueId val="{00000040-4BC1-4003-BD4D-F5719FA99598}"/>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1-4BC1-4003-BD4D-F5719FA99598}"/>
              </c:ext>
            </c:extLst>
          </c:dPt>
          <c:dPt>
            <c:idx val="5"/>
            <c:invertIfNegative val="0"/>
            <c:bubble3D val="0"/>
            <c:spPr>
              <a:solidFill>
                <a:srgbClr val="C00000"/>
              </a:solidFill>
              <a:ln>
                <a:noFill/>
              </a:ln>
              <a:effectLst/>
            </c:spPr>
            <c:extLst>
              <c:ext xmlns:c16="http://schemas.microsoft.com/office/drawing/2014/chart" uri="{C3380CC4-5D6E-409C-BE32-E72D297353CC}">
                <c16:uniqueId val="{00000042-4BC1-4003-BD4D-F5719FA99598}"/>
              </c:ext>
            </c:extLst>
          </c:dPt>
          <c:dPt>
            <c:idx val="6"/>
            <c:invertIfNegative val="0"/>
            <c:bubble3D val="0"/>
            <c:spPr>
              <a:solidFill>
                <a:srgbClr val="C00000"/>
              </a:solidFill>
              <a:ln>
                <a:noFill/>
              </a:ln>
              <a:effectLst/>
            </c:spPr>
            <c:extLst>
              <c:ext xmlns:c16="http://schemas.microsoft.com/office/drawing/2014/chart" uri="{C3380CC4-5D6E-409C-BE32-E72D297353CC}">
                <c16:uniqueId val="{00000043-4BC1-4003-BD4D-F5719FA99598}"/>
              </c:ext>
            </c:extLst>
          </c:dPt>
          <c:dPt>
            <c:idx val="7"/>
            <c:invertIfNegative val="0"/>
            <c:bubble3D val="0"/>
            <c:spPr>
              <a:solidFill>
                <a:srgbClr val="C00000"/>
              </a:solidFill>
              <a:ln>
                <a:noFill/>
              </a:ln>
              <a:effectLst/>
            </c:spPr>
            <c:extLst>
              <c:ext xmlns:c16="http://schemas.microsoft.com/office/drawing/2014/chart" uri="{C3380CC4-5D6E-409C-BE32-E72D297353CC}">
                <c16:uniqueId val="{00000044-4BC1-4003-BD4D-F5719FA99598}"/>
              </c:ext>
            </c:extLst>
          </c:dPt>
          <c:dPt>
            <c:idx val="8"/>
            <c:invertIfNegative val="0"/>
            <c:bubble3D val="0"/>
            <c:spPr>
              <a:solidFill>
                <a:srgbClr val="C00000"/>
              </a:solidFill>
              <a:ln>
                <a:noFill/>
              </a:ln>
              <a:effectLst/>
            </c:spPr>
            <c:extLst>
              <c:ext xmlns:c16="http://schemas.microsoft.com/office/drawing/2014/chart" uri="{C3380CC4-5D6E-409C-BE32-E72D297353CC}">
                <c16:uniqueId val="{00000045-4BC1-4003-BD4D-F5719FA99598}"/>
              </c:ext>
            </c:extLst>
          </c:dPt>
          <c:dPt>
            <c:idx val="9"/>
            <c:invertIfNegative val="0"/>
            <c:bubble3D val="0"/>
            <c:spPr>
              <a:solidFill>
                <a:srgbClr val="C00000"/>
              </a:solidFill>
              <a:ln>
                <a:noFill/>
              </a:ln>
              <a:effectLst/>
            </c:spPr>
            <c:extLst>
              <c:ext xmlns:c16="http://schemas.microsoft.com/office/drawing/2014/chart" uri="{C3380CC4-5D6E-409C-BE32-E72D297353CC}">
                <c16:uniqueId val="{00000046-4BC1-4003-BD4D-F5719FA99598}"/>
              </c:ext>
            </c:extLst>
          </c:dPt>
          <c:dPt>
            <c:idx val="10"/>
            <c:invertIfNegative val="0"/>
            <c:bubble3D val="0"/>
            <c:spPr>
              <a:solidFill>
                <a:srgbClr val="FF8989"/>
              </a:solidFill>
              <a:ln>
                <a:noFill/>
              </a:ln>
              <a:effectLst/>
            </c:spPr>
            <c:extLst>
              <c:ext xmlns:c16="http://schemas.microsoft.com/office/drawing/2014/chart" uri="{C3380CC4-5D6E-409C-BE32-E72D297353CC}">
                <c16:uniqueId val="{00000047-4BC1-4003-BD4D-F5719FA99598}"/>
              </c:ext>
            </c:extLst>
          </c:dPt>
          <c:dPt>
            <c:idx val="11"/>
            <c:invertIfNegative val="0"/>
            <c:bubble3D val="0"/>
            <c:spPr>
              <a:solidFill>
                <a:srgbClr val="FF8989"/>
              </a:solidFill>
              <a:ln>
                <a:noFill/>
              </a:ln>
              <a:effectLst/>
            </c:spPr>
            <c:extLst>
              <c:ext xmlns:c16="http://schemas.microsoft.com/office/drawing/2014/chart" uri="{C3380CC4-5D6E-409C-BE32-E72D297353CC}">
                <c16:uniqueId val="{00000048-4BC1-4003-BD4D-F5719FA99598}"/>
              </c:ext>
            </c:extLst>
          </c:dPt>
          <c:dPt>
            <c:idx val="12"/>
            <c:invertIfNegative val="0"/>
            <c:bubble3D val="0"/>
            <c:spPr>
              <a:solidFill>
                <a:srgbClr val="FF8989"/>
              </a:solidFill>
              <a:ln>
                <a:noFill/>
              </a:ln>
              <a:effectLst/>
            </c:spPr>
            <c:extLst>
              <c:ext xmlns:c16="http://schemas.microsoft.com/office/drawing/2014/chart" uri="{C3380CC4-5D6E-409C-BE32-E72D297353CC}">
                <c16:uniqueId val="{00000049-4BC1-4003-BD4D-F5719FA99598}"/>
              </c:ext>
            </c:extLst>
          </c:dPt>
          <c:dPt>
            <c:idx val="13"/>
            <c:invertIfNegative val="0"/>
            <c:bubble3D val="0"/>
            <c:spPr>
              <a:solidFill>
                <a:srgbClr val="FF8989"/>
              </a:solidFill>
              <a:ln>
                <a:noFill/>
              </a:ln>
              <a:effectLst/>
            </c:spPr>
            <c:extLst>
              <c:ext xmlns:c16="http://schemas.microsoft.com/office/drawing/2014/chart" uri="{C3380CC4-5D6E-409C-BE32-E72D297353CC}">
                <c16:uniqueId val="{0000004A-4BC1-4003-BD4D-F5719FA99598}"/>
              </c:ext>
            </c:extLst>
          </c:dPt>
          <c:dPt>
            <c:idx val="14"/>
            <c:invertIfNegative val="0"/>
            <c:bubble3D val="0"/>
            <c:spPr>
              <a:solidFill>
                <a:srgbClr val="FF8989"/>
              </a:solidFill>
              <a:ln>
                <a:noFill/>
              </a:ln>
              <a:effectLst/>
            </c:spPr>
            <c:extLst>
              <c:ext xmlns:c16="http://schemas.microsoft.com/office/drawing/2014/chart" uri="{C3380CC4-5D6E-409C-BE32-E72D297353CC}">
                <c16:uniqueId val="{0000004C-4BC1-4003-BD4D-F5719FA99598}"/>
              </c:ext>
            </c:extLst>
          </c:dPt>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4BC1-4003-BD4D-F5719FA99598}"/>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4BC1-4003-BD4D-F5719FA995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4BC1-4003-BD4D-F5719FA9959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4BC1-4003-BD4D-F5719FA99598}"/>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4BC1-4003-BD4D-F5719FA995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 CUIDADOS'!$C$37:$D$51</c:f>
              <c:multiLvlStrCache>
                <c:ptCount val="15"/>
                <c:lvl>
                  <c:pt idx="0">
                    <c:v>    Me encargo de la mayor parte de los cuidados</c:v>
                  </c:pt>
                  <c:pt idx="1">
                    <c:v>    Me encargo de una parte importante de los cuidados, compartiéndolos con otra/s personas</c:v>
                  </c:pt>
                  <c:pt idx="2">
                    <c:v>    Me encargo de una pequeña parte de los cuidados</c:v>
                  </c:pt>
                  <c:pt idx="3">
                    <c:v>    No hay personas menores ni personas dependientes en el hogar</c:v>
                  </c:pt>
                  <c:pt idx="4">
                    <c:v>    No participio habitualmente en los cuidados</c:v>
                  </c:pt>
                  <c:pt idx="5">
                    <c:v>    Me encargo de la mayor parte de los cuidados</c:v>
                  </c:pt>
                  <c:pt idx="6">
                    <c:v>    Me encargo de una parte importante de los cuidados, compartiéndolos con otra/s personas</c:v>
                  </c:pt>
                  <c:pt idx="7">
                    <c:v>    Me encargo de una pequeña parte de los cuidados</c:v>
                  </c:pt>
                  <c:pt idx="8">
                    <c:v>    No hay personas menores ni personas dependientes en el hogar</c:v>
                  </c:pt>
                  <c:pt idx="9">
                    <c:v>    No participio habitualmente en los cuidados</c:v>
                  </c:pt>
                  <c:pt idx="10">
                    <c:v>    Me encargo de la mayor parte de los cuidados</c:v>
                  </c:pt>
                  <c:pt idx="11">
                    <c:v>    Me encargo de una parte importante de los cuidados, compartiéndolos con otra/s personas</c:v>
                  </c:pt>
                  <c:pt idx="12">
                    <c:v>    Me encargo de una pequeña parte de los cuidados</c:v>
                  </c:pt>
                  <c:pt idx="13">
                    <c:v>    No hay personas menores ni personas dependientes en el hogar</c:v>
                  </c:pt>
                  <c:pt idx="14">
                    <c:v>    No participio habitualmente en los cuidados</c:v>
                  </c:pt>
                </c:lvl>
                <c:lvl>
                  <c:pt idx="0">
                    <c:v>Hombres</c:v>
                  </c:pt>
                  <c:pt idx="5">
                    <c:v>Mujeres</c:v>
                  </c:pt>
                  <c:pt idx="10">
                    <c:v>Brecha (punt.porc.)</c:v>
                  </c:pt>
                </c:lvl>
              </c:multiLvlStrCache>
            </c:multiLvlStrRef>
          </c:cat>
          <c:val>
            <c:numRef>
              <c:f>'6. CUIDADOS'!$U$37:$U$51</c:f>
              <c:numCache>
                <c:formatCode>0.0</c:formatCode>
                <c:ptCount val="15"/>
                <c:pt idx="0">
                  <c:v>1.9775419789443069</c:v>
                </c:pt>
                <c:pt idx="1">
                  <c:v>16.072235466429831</c:v>
                </c:pt>
                <c:pt idx="2">
                  <c:v>9.6065518142833142</c:v>
                </c:pt>
                <c:pt idx="3">
                  <c:v>53.799183187300791</c:v>
                </c:pt>
                <c:pt idx="4">
                  <c:v>18.544487553041751</c:v>
                </c:pt>
                <c:pt idx="5">
                  <c:v>13.539164205748577</c:v>
                </c:pt>
                <c:pt idx="6">
                  <c:v>15.50077704873409</c:v>
                </c:pt>
                <c:pt idx="7">
                  <c:v>3.6445326471249198</c:v>
                </c:pt>
                <c:pt idx="8">
                  <c:v>49.799407480557953</c:v>
                </c:pt>
                <c:pt idx="9">
                  <c:v>17.516197747033445</c:v>
                </c:pt>
                <c:pt idx="10">
                  <c:v>11.561622226804269</c:v>
                </c:pt>
                <c:pt idx="11">
                  <c:v>-0.57145841769574091</c:v>
                </c:pt>
                <c:pt idx="12">
                  <c:v>-5.9620191671583944</c:v>
                </c:pt>
                <c:pt idx="13">
                  <c:v>-3.9997757067428381</c:v>
                </c:pt>
                <c:pt idx="14">
                  <c:v>-1.0282898060083063</c:v>
                </c:pt>
              </c:numCache>
            </c:numRef>
          </c:val>
          <c:extLst xmlns:c15="http://schemas.microsoft.com/office/drawing/2012/chart">
            <c:ext xmlns:c16="http://schemas.microsoft.com/office/drawing/2014/chart" uri="{C3380CC4-5D6E-409C-BE32-E72D297353CC}">
              <c16:uniqueId val="{0000002E-4BC1-4003-BD4D-F5719FA99598}"/>
            </c:ext>
          </c:extLst>
        </c:ser>
        <c:dLbls>
          <c:showLegendKey val="0"/>
          <c:showVal val="0"/>
          <c:showCatName val="0"/>
          <c:showSerName val="0"/>
          <c:showPercent val="0"/>
          <c:showBubbleSize val="0"/>
        </c:dLbls>
        <c:gapWidth val="182"/>
        <c:axId val="716814744"/>
        <c:axId val="716276152"/>
        <c:extLst/>
      </c:barChart>
      <c:catAx>
        <c:axId val="716814744"/>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6276152"/>
        <c:crosses val="autoZero"/>
        <c:auto val="1"/>
        <c:lblAlgn val="ctr"/>
        <c:lblOffset val="100"/>
        <c:noMultiLvlLbl val="0"/>
      </c:catAx>
      <c:valAx>
        <c:axId val="716276152"/>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68147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it-IT" sz="1200" b="1" i="0" u="none" strike="noStrike" kern="1200" spc="0" baseline="0">
                <a:solidFill>
                  <a:sysClr val="windowText" lastClr="000000">
                    <a:lumMod val="65000"/>
                    <a:lumOff val="35000"/>
                  </a:sysClr>
                </a:solidFill>
              </a:rPr>
              <a:t>6.5 Excedencias por cuidado de hijos/as </a:t>
            </a:r>
          </a:p>
        </c:rich>
      </c:tx>
      <c:layout>
        <c:manualLayout>
          <c:xMode val="edge"/>
          <c:yMode val="edge"/>
          <c:x val="0.31988981193864535"/>
          <c:y val="3.703703703703703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barChart>
        <c:barDir val="col"/>
        <c:grouping val="clustered"/>
        <c:varyColors val="0"/>
        <c:ser>
          <c:idx val="2"/>
          <c:order val="2"/>
          <c:tx>
            <c:strRef>
              <c:f>'6. CUIDADOS'!$C$66:$D$66</c:f>
              <c:strCache>
                <c:ptCount val="2"/>
                <c:pt idx="0">
                  <c:v>Brecha (N)</c:v>
                </c:pt>
              </c:strCache>
            </c:strRef>
          </c:tx>
          <c:spPr>
            <a:solidFill>
              <a:srgbClr val="FF898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 CUIDADOS'!$T$62:$W$62</c:f>
              <c:numCache>
                <c:formatCode>General</c:formatCode>
                <c:ptCount val="4"/>
                <c:pt idx="0">
                  <c:v>2020</c:v>
                </c:pt>
                <c:pt idx="1">
                  <c:v>2021</c:v>
                </c:pt>
                <c:pt idx="2">
                  <c:v>2022</c:v>
                </c:pt>
                <c:pt idx="3">
                  <c:v>2023</c:v>
                </c:pt>
              </c:numCache>
            </c:numRef>
          </c:cat>
          <c:val>
            <c:numRef>
              <c:f>'6. CUIDADOS'!$T$66:$W$66</c:f>
              <c:numCache>
                <c:formatCode>_-* #,##0_-;\-* #,##0_-;_-* "-"??_-;_-@_-</c:formatCode>
                <c:ptCount val="4"/>
                <c:pt idx="0">
                  <c:v>6879</c:v>
                </c:pt>
                <c:pt idx="1">
                  <c:v>5484</c:v>
                </c:pt>
                <c:pt idx="2">
                  <c:v>5334</c:v>
                </c:pt>
                <c:pt idx="3">
                  <c:v>4956</c:v>
                </c:pt>
              </c:numCache>
            </c:numRef>
          </c:val>
          <c:extLst>
            <c:ext xmlns:c16="http://schemas.microsoft.com/office/drawing/2014/chart" uri="{C3380CC4-5D6E-409C-BE32-E72D297353CC}">
              <c16:uniqueId val="{00000002-787A-4655-A14B-391980D81034}"/>
            </c:ext>
          </c:extLst>
        </c:ser>
        <c:dLbls>
          <c:showLegendKey val="0"/>
          <c:showVal val="0"/>
          <c:showCatName val="0"/>
          <c:showSerName val="0"/>
          <c:showPercent val="0"/>
          <c:showBubbleSize val="0"/>
        </c:dLbls>
        <c:gapWidth val="150"/>
        <c:axId val="383296320"/>
        <c:axId val="383293800"/>
      </c:barChart>
      <c:lineChart>
        <c:grouping val="standard"/>
        <c:varyColors val="0"/>
        <c:ser>
          <c:idx val="0"/>
          <c:order val="0"/>
          <c:tx>
            <c:strRef>
              <c:f>'6. CUIDADOS'!$C$64:$D$64</c:f>
              <c:strCache>
                <c:ptCount val="2"/>
                <c:pt idx="0">
                  <c:v>Padres</c:v>
                </c:pt>
              </c:strCache>
            </c:strRef>
          </c:tx>
          <c:spPr>
            <a:ln w="12700" cap="flat" cmpd="sng" algn="ctr">
              <a:solidFill>
                <a:schemeClr val="tx1">
                  <a:lumMod val="50000"/>
                  <a:lumOff val="50000"/>
                </a:schemeClr>
              </a:solidFill>
              <a:prstDash val="solid"/>
              <a:miter lim="800000"/>
            </a:ln>
            <a:effectLst/>
          </c:spPr>
          <c:marker>
            <c:symbol val="circle"/>
            <c:size val="5"/>
            <c:spPr>
              <a:solidFill>
                <a:schemeClr val="tx1">
                  <a:lumMod val="50000"/>
                  <a:lumOff val="50000"/>
                </a:schemeClr>
              </a:solidFill>
              <a:ln w="12700" cap="flat" cmpd="sng" algn="ctr">
                <a:noFill/>
                <a:prstDash val="solid"/>
                <a:miter lim="800000"/>
              </a:ln>
              <a:effectLst/>
            </c:spPr>
          </c:marker>
          <c:val>
            <c:numRef>
              <c:f>'6. CUIDADOS'!$T$64:$W$64</c:f>
              <c:numCache>
                <c:formatCode>_-* #,##0_-;\-* #,##0_-;_-* "-"??_-;_-@_-</c:formatCode>
                <c:ptCount val="4"/>
                <c:pt idx="0">
                  <c:v>817</c:v>
                </c:pt>
                <c:pt idx="1">
                  <c:v>754</c:v>
                </c:pt>
                <c:pt idx="2">
                  <c:v>968</c:v>
                </c:pt>
                <c:pt idx="3">
                  <c:v>1103</c:v>
                </c:pt>
              </c:numCache>
            </c:numRef>
          </c:val>
          <c:smooth val="0"/>
          <c:extLst>
            <c:ext xmlns:c16="http://schemas.microsoft.com/office/drawing/2014/chart" uri="{C3380CC4-5D6E-409C-BE32-E72D297353CC}">
              <c16:uniqueId val="{00000001-A467-4E4E-B344-7D8CADD94DC6}"/>
            </c:ext>
          </c:extLst>
        </c:ser>
        <c:ser>
          <c:idx val="1"/>
          <c:order val="1"/>
          <c:tx>
            <c:strRef>
              <c:f>'6. CUIDADOS'!$C$65:$D$65</c:f>
              <c:strCache>
                <c:ptCount val="2"/>
                <c:pt idx="0">
                  <c:v>Madres</c:v>
                </c:pt>
              </c:strCache>
            </c:strRef>
          </c:tx>
          <c:spPr>
            <a:ln w="12700" cap="rnd">
              <a:solidFill>
                <a:srgbClr val="C00000"/>
              </a:solidFill>
              <a:round/>
            </a:ln>
            <a:effectLst/>
          </c:spPr>
          <c:marker>
            <c:symbol val="circle"/>
            <c:size val="5"/>
            <c:spPr>
              <a:solidFill>
                <a:srgbClr val="C00000"/>
              </a:solidFill>
              <a:ln w="12700">
                <a:noFill/>
              </a:ln>
              <a:effectLst/>
            </c:spPr>
          </c:marker>
          <c:val>
            <c:numRef>
              <c:f>'6. CUIDADOS'!$T$65:$W$65</c:f>
              <c:numCache>
                <c:formatCode>_-* #,##0_-;\-* #,##0_-;_-* "-"??_-;_-@_-</c:formatCode>
                <c:ptCount val="4"/>
                <c:pt idx="0">
                  <c:v>7696</c:v>
                </c:pt>
                <c:pt idx="1">
                  <c:v>6238</c:v>
                </c:pt>
                <c:pt idx="2">
                  <c:v>6302</c:v>
                </c:pt>
                <c:pt idx="3">
                  <c:v>6059</c:v>
                </c:pt>
              </c:numCache>
            </c:numRef>
          </c:val>
          <c:smooth val="0"/>
          <c:extLst>
            <c:ext xmlns:c16="http://schemas.microsoft.com/office/drawing/2014/chart" uri="{C3380CC4-5D6E-409C-BE32-E72D297353CC}">
              <c16:uniqueId val="{00000002-A467-4E4E-B344-7D8CADD94DC6}"/>
            </c:ext>
          </c:extLst>
        </c:ser>
        <c:dLbls>
          <c:showLegendKey val="0"/>
          <c:showVal val="0"/>
          <c:showCatName val="0"/>
          <c:showSerName val="0"/>
          <c:showPercent val="0"/>
          <c:showBubbleSize val="0"/>
        </c:dLbls>
        <c:marker val="1"/>
        <c:smooth val="0"/>
        <c:axId val="383296320"/>
        <c:axId val="383293800"/>
      </c:lineChart>
      <c:catAx>
        <c:axId val="38329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293800"/>
        <c:crosses val="autoZero"/>
        <c:auto val="1"/>
        <c:lblAlgn val="ctr"/>
        <c:lblOffset val="100"/>
        <c:noMultiLvlLbl val="0"/>
      </c:catAx>
      <c:valAx>
        <c:axId val="38329380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2963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5260207959235419"/>
          <c:y val="0.89973708653791151"/>
          <c:w val="0.39307096196065566"/>
          <c:h val="7.08666025833702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7.1 Alumnado matriculado en bachillerato de ciencias y tecnología (%)  </a:t>
            </a:r>
          </a:p>
        </c:rich>
      </c:tx>
      <c:layout>
        <c:manualLayout>
          <c:xMode val="edge"/>
          <c:yMode val="edge"/>
          <c:x val="0.14346202991506526"/>
          <c:y val="2.583770799863555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'7. EDUC, CIEN, CULT Y DEP'!$C$12:$D$12</c:f>
              <c:strCache>
                <c:ptCount val="2"/>
                <c:pt idx="0">
                  <c:v>Brecha (punt.porc.)</c:v>
                </c:pt>
              </c:strCache>
            </c:strRef>
          </c:tx>
          <c:spPr>
            <a:solidFill>
              <a:srgbClr val="FF8989"/>
            </a:solidFill>
            <a:ln>
              <a:noFill/>
            </a:ln>
            <a:effectLst/>
          </c:spPr>
          <c:invertIfNegative val="0"/>
          <c:cat>
            <c:strRef>
              <c:f>'7. EDUC, CIEN, CULT Y DEP'!$T$2:$W$2</c:f>
              <c:strCache>
                <c:ptCount val="4"/>
                <c:pt idx="0">
                  <c:v>2020-2021</c:v>
                </c:pt>
                <c:pt idx="1">
                  <c:v>2021-2022</c:v>
                </c:pt>
                <c:pt idx="2">
                  <c:v>2022-2023                   * cambio categorias CAM</c:v>
                </c:pt>
                <c:pt idx="3">
                  <c:v>2023-2024</c:v>
                </c:pt>
              </c:strCache>
            </c:strRef>
          </c:cat>
          <c:val>
            <c:numRef>
              <c:f>'7. EDUC, CIEN, CULT Y DEP'!$T$12:$W$12</c:f>
              <c:numCache>
                <c:formatCode>0.0</c:formatCode>
                <c:ptCount val="4"/>
                <c:pt idx="0">
                  <c:v>-9.3361386869342198</c:v>
                </c:pt>
                <c:pt idx="1">
                  <c:v>-8.9888326820230517</c:v>
                </c:pt>
                <c:pt idx="2">
                  <c:v>-2.8231469349880598</c:v>
                </c:pt>
                <c:pt idx="3">
                  <c:v>-9.6626854498035257</c:v>
                </c:pt>
              </c:numCache>
            </c:numRef>
          </c:val>
          <c:extLst>
            <c:ext xmlns:c16="http://schemas.microsoft.com/office/drawing/2014/chart" uri="{C3380CC4-5D6E-409C-BE32-E72D297353CC}">
              <c16:uniqueId val="{00000032-9964-486F-A63F-788AC8FAA2A9}"/>
            </c:ext>
          </c:extLst>
        </c:ser>
        <c:dLbls>
          <c:showLegendKey val="0"/>
          <c:showVal val="0"/>
          <c:showCatName val="0"/>
          <c:showSerName val="0"/>
          <c:showPercent val="0"/>
          <c:showBubbleSize val="0"/>
        </c:dLbls>
        <c:gapWidth val="150"/>
        <c:overlap val="100"/>
        <c:axId val="1113569071"/>
        <c:axId val="577001552"/>
      </c:barChart>
      <c:lineChart>
        <c:grouping val="stacked"/>
        <c:varyColors val="0"/>
        <c:ser>
          <c:idx val="0"/>
          <c:order val="0"/>
          <c:tx>
            <c:strRef>
              <c:f>'7. EDUC, CIEN, CULT Y DEP'!$C$10:$D$10</c:f>
              <c:strCache>
                <c:ptCount val="2"/>
                <c:pt idx="0">
                  <c:v>% concentración hombres</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9525">
                <a:noFill/>
              </a:ln>
              <a:effectLst/>
            </c:spPr>
          </c:marker>
          <c:cat>
            <c:strRef>
              <c:f>'7. EDUC, CIEN, CULT Y DEP'!$T$2:$W$2</c:f>
              <c:strCache>
                <c:ptCount val="4"/>
                <c:pt idx="0">
                  <c:v>2020-2021</c:v>
                </c:pt>
                <c:pt idx="1">
                  <c:v>2021-2022</c:v>
                </c:pt>
                <c:pt idx="2">
                  <c:v>2022-2023                   * cambio categorias CAM</c:v>
                </c:pt>
                <c:pt idx="3">
                  <c:v>2023-2024</c:v>
                </c:pt>
              </c:strCache>
            </c:strRef>
          </c:cat>
          <c:val>
            <c:numRef>
              <c:f>'7. EDUC, CIEN, CULT Y DEP'!$T$10:$W$10</c:f>
              <c:numCache>
                <c:formatCode>0.0</c:formatCode>
                <c:ptCount val="4"/>
                <c:pt idx="0">
                  <c:v>53.023315950523639</c:v>
                </c:pt>
                <c:pt idx="1">
                  <c:v>54.582702413823817</c:v>
                </c:pt>
                <c:pt idx="2">
                  <c:v>25.098182482418487</c:v>
                </c:pt>
                <c:pt idx="3">
                  <c:v>55.737190970978141</c:v>
                </c:pt>
              </c:numCache>
            </c:numRef>
          </c:val>
          <c:smooth val="0"/>
          <c:extLst>
            <c:ext xmlns:c16="http://schemas.microsoft.com/office/drawing/2014/chart" uri="{C3380CC4-5D6E-409C-BE32-E72D297353CC}">
              <c16:uniqueId val="{00000006-7127-4F04-83AB-156553A5D59B}"/>
            </c:ext>
          </c:extLst>
        </c:ser>
        <c:ser>
          <c:idx val="1"/>
          <c:order val="1"/>
          <c:tx>
            <c:strRef>
              <c:f>'7. EDUC, CIEN, CULT Y DEP'!$C$11:$D$11</c:f>
              <c:strCache>
                <c:ptCount val="2"/>
                <c:pt idx="0">
                  <c:v>% concentración mujeres</c:v>
                </c:pt>
              </c:strCache>
            </c:strRef>
          </c:tx>
          <c:spPr>
            <a:ln w="19050" cap="rnd">
              <a:solidFill>
                <a:srgbClr val="C00000"/>
              </a:solidFill>
              <a:round/>
            </a:ln>
            <a:effectLst/>
          </c:spPr>
          <c:marker>
            <c:symbol val="circle"/>
            <c:size val="5"/>
            <c:spPr>
              <a:solidFill>
                <a:srgbClr val="C00000"/>
              </a:solidFill>
              <a:ln w="9525">
                <a:noFill/>
              </a:ln>
              <a:effectLst/>
            </c:spPr>
          </c:marker>
          <c:cat>
            <c:strRef>
              <c:f>'7. EDUC, CIEN, CULT Y DEP'!$T$2:$W$2</c:f>
              <c:strCache>
                <c:ptCount val="4"/>
                <c:pt idx="0">
                  <c:v>2020-2021</c:v>
                </c:pt>
                <c:pt idx="1">
                  <c:v>2021-2022</c:v>
                </c:pt>
                <c:pt idx="2">
                  <c:v>2022-2023                   * cambio categorias CAM</c:v>
                </c:pt>
                <c:pt idx="3">
                  <c:v>2023-2024</c:v>
                </c:pt>
              </c:strCache>
            </c:strRef>
          </c:cat>
          <c:val>
            <c:numRef>
              <c:f>'7. EDUC, CIEN, CULT Y DEP'!$T$11:$W$11</c:f>
              <c:numCache>
                <c:formatCode>0.0</c:formatCode>
                <c:ptCount val="4"/>
                <c:pt idx="0">
                  <c:v>43.687177263589419</c:v>
                </c:pt>
                <c:pt idx="1">
                  <c:v>45.593869731800766</c:v>
                </c:pt>
                <c:pt idx="2">
                  <c:v>22.275035547430427</c:v>
                </c:pt>
                <c:pt idx="3">
                  <c:v>46.074505521174615</c:v>
                </c:pt>
              </c:numCache>
            </c:numRef>
          </c:val>
          <c:smooth val="0"/>
          <c:extLst>
            <c:ext xmlns:c16="http://schemas.microsoft.com/office/drawing/2014/chart" uri="{C3380CC4-5D6E-409C-BE32-E72D297353CC}">
              <c16:uniqueId val="{00000031-9964-486F-A63F-788AC8FAA2A9}"/>
            </c:ext>
          </c:extLst>
        </c:ser>
        <c:dLbls>
          <c:showLegendKey val="0"/>
          <c:showVal val="0"/>
          <c:showCatName val="0"/>
          <c:showSerName val="0"/>
          <c:showPercent val="0"/>
          <c:showBubbleSize val="0"/>
        </c:dLbls>
        <c:marker val="1"/>
        <c:smooth val="0"/>
        <c:axId val="1113569071"/>
        <c:axId val="577001552"/>
      </c:lineChart>
      <c:catAx>
        <c:axId val="111356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7001552"/>
        <c:crosses val="autoZero"/>
        <c:auto val="1"/>
        <c:lblAlgn val="ctr"/>
        <c:lblOffset val="100"/>
        <c:noMultiLvlLbl val="0"/>
      </c:catAx>
      <c:valAx>
        <c:axId val="577001552"/>
        <c:scaling>
          <c:orientation val="minMax"/>
          <c:min val="-4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135690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it-IT" sz="1200" b="1"/>
              <a:t>2.1. Población total de mujeres y hombres (N)</a:t>
            </a:r>
          </a:p>
        </c:rich>
      </c:tx>
      <c:layout>
        <c:manualLayout>
          <c:xMode val="edge"/>
          <c:yMode val="edge"/>
          <c:x val="0.25795329831212832"/>
          <c:y val="3.2187500000000001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'2. POBLACIÓN Y HOGARES'!$C$6:$D$6</c:f>
              <c:strCache>
                <c:ptCount val="2"/>
                <c:pt idx="0">
                  <c:v>Diferencia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HOGARES'!$E$2:$V$2</c15:sqref>
                  </c15:fullRef>
                </c:ext>
              </c:extLst>
              <c:f>'2. POBLACIÓN Y HOGARES'!$F$2:$V$2</c:f>
              <c:numCache>
                <c:formatCode>General</c:formatCode>
                <c:ptCount val="5"/>
                <c:pt idx="0">
                  <c:v>2010</c:v>
                </c:pt>
                <c:pt idx="1">
                  <c:v>2015</c:v>
                </c:pt>
                <c:pt idx="2">
                  <c:v>2020</c:v>
                </c:pt>
                <c:pt idx="3">
                  <c:v>2021</c:v>
                </c:pt>
                <c:pt idx="4">
                  <c:v>2022</c:v>
                </c:pt>
              </c:numCache>
            </c:numRef>
          </c:cat>
          <c:val>
            <c:numRef>
              <c:extLst>
                <c:ext xmlns:c15="http://schemas.microsoft.com/office/drawing/2012/chart" uri="{02D57815-91ED-43cb-92C2-25804820EDAC}">
                  <c15:fullRef>
                    <c15:sqref>'2. POBLACIÓN Y HOGARES'!$E$6:$X$6</c15:sqref>
                  </c15:fullRef>
                </c:ext>
              </c:extLst>
              <c:f>'2. POBLACIÓN Y HOGARES'!$F$6:$X$6</c:f>
              <c:numCache>
                <c:formatCode>#,##0</c:formatCode>
                <c:ptCount val="7"/>
                <c:pt idx="0">
                  <c:v>195440</c:v>
                </c:pt>
                <c:pt idx="1">
                  <c:v>219053</c:v>
                </c:pt>
                <c:pt idx="2">
                  <c:v>225266</c:v>
                </c:pt>
                <c:pt idx="3">
                  <c:v>221996</c:v>
                </c:pt>
                <c:pt idx="4">
                  <c:v>217014</c:v>
                </c:pt>
                <c:pt idx="5">
                  <c:v>220199</c:v>
                </c:pt>
                <c:pt idx="6">
                  <c:v>218955</c:v>
                </c:pt>
              </c:numCache>
            </c:numRef>
          </c:val>
          <c:extLst>
            <c:ext xmlns:c16="http://schemas.microsoft.com/office/drawing/2014/chart" uri="{C3380CC4-5D6E-409C-BE32-E72D297353CC}">
              <c16:uniqueId val="{00000000-8D97-4021-A183-21683F39D141}"/>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HOGARES'!$C$4:$D$4</c:f>
              <c:strCache>
                <c:ptCount val="2"/>
                <c:pt idx="0">
                  <c:v>Hombres</c:v>
                </c:pt>
              </c:strCache>
            </c:strRef>
          </c:tx>
          <c:spPr>
            <a:ln w="12700" cap="flat">
              <a:solidFill>
                <a:schemeClr val="bg2">
                  <a:lumMod val="50000"/>
                </a:schemeClr>
              </a:solidFill>
              <a:miter lim="800000"/>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HOGARES'!$E$2:$X$2</c15:sqref>
                  </c15:fullRef>
                </c:ext>
              </c:extLst>
              <c:f>'2. POBLACIÓN Y HOGARES'!$F$2:$X$2</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HOGARES'!$E$4:$X$4</c15:sqref>
                  </c15:fullRef>
                </c:ext>
              </c:extLst>
              <c:f>'2. POBLACIÓN Y HOGARES'!$F$4:$X$4</c:f>
              <c:numCache>
                <c:formatCode>#,##0</c:formatCode>
                <c:ptCount val="7"/>
                <c:pt idx="0">
                  <c:v>1544335</c:v>
                </c:pt>
                <c:pt idx="1">
                  <c:v>1461469</c:v>
                </c:pt>
                <c:pt idx="2">
                  <c:v>1554732</c:v>
                </c:pt>
                <c:pt idx="3">
                  <c:v>1545157</c:v>
                </c:pt>
                <c:pt idx="4">
                  <c:v>1534824</c:v>
                </c:pt>
                <c:pt idx="5">
                  <c:v>1559866</c:v>
                </c:pt>
                <c:pt idx="6">
                  <c:v>1620768</c:v>
                </c:pt>
              </c:numCache>
            </c:numRef>
          </c:val>
          <c:smooth val="0"/>
          <c:extLst>
            <c:ext xmlns:c16="http://schemas.microsoft.com/office/drawing/2014/chart" uri="{C3380CC4-5D6E-409C-BE32-E72D297353CC}">
              <c16:uniqueId val="{00000001-8D97-4021-A183-21683F39D141}"/>
            </c:ext>
          </c:extLst>
        </c:ser>
        <c:ser>
          <c:idx val="1"/>
          <c:order val="1"/>
          <c:tx>
            <c:strRef>
              <c:f>'2. POBLACIÓN Y HOGARES'!$C$5</c:f>
              <c:strCache>
                <c:ptCount val="1"/>
                <c:pt idx="0">
                  <c:v>Mujeres</c:v>
                </c:pt>
              </c:strCache>
            </c:strRef>
          </c:tx>
          <c:spPr>
            <a:ln w="12700" cap="flat">
              <a:solidFill>
                <a:srgbClr val="C00000"/>
              </a:solidFill>
              <a:miter lim="800000"/>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HOGARES'!$E$2:$X$2</c15:sqref>
                  </c15:fullRef>
                </c:ext>
              </c:extLst>
              <c:f>'2. POBLACIÓN Y HOGARES'!$F$2:$X$2</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HOGARES'!$E$5:$X$5</c15:sqref>
                  </c15:fullRef>
                </c:ext>
              </c:extLst>
              <c:f>'2. POBLACIÓN Y HOGARES'!$F$5:$X$5</c:f>
              <c:numCache>
                <c:formatCode>#,##0</c:formatCode>
                <c:ptCount val="7"/>
                <c:pt idx="0">
                  <c:v>1739775</c:v>
                </c:pt>
                <c:pt idx="1">
                  <c:v>1680522</c:v>
                </c:pt>
                <c:pt idx="2">
                  <c:v>1779998</c:v>
                </c:pt>
                <c:pt idx="3">
                  <c:v>1767153</c:v>
                </c:pt>
                <c:pt idx="4">
                  <c:v>1751838</c:v>
                </c:pt>
                <c:pt idx="5">
                  <c:v>1780065</c:v>
                </c:pt>
                <c:pt idx="6">
                  <c:v>1839723</c:v>
                </c:pt>
              </c:numCache>
            </c:numRef>
          </c:val>
          <c:smooth val="0"/>
          <c:extLst>
            <c:ext xmlns:c16="http://schemas.microsoft.com/office/drawing/2014/chart" uri="{C3380CC4-5D6E-409C-BE32-E72D297353CC}">
              <c16:uniqueId val="{00000002-8D97-4021-A183-21683F39D141}"/>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4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7.2 Porcentaje de </a:t>
            </a:r>
            <a:r>
              <a:rPr lang="it-IT" sz="1200" b="1" i="0" u="none" strike="noStrike" kern="1200" spc="0" baseline="0">
                <a:solidFill>
                  <a:sysClr val="windowText" lastClr="000000">
                    <a:lumMod val="65000"/>
                    <a:lumOff val="35000"/>
                  </a:sysClr>
                </a:solidFill>
              </a:rPr>
              <a:t>familias profesionales de</a:t>
            </a:r>
            <a:r>
              <a:rPr lang="it-IT" sz="1200" b="1"/>
              <a:t> formación profesional de grado medio masculinizadas, feminizadas y en equilibrio</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9994618084694926"/>
          <c:y val="0.23006369426751591"/>
          <c:w val="0.77688421767019622"/>
          <c:h val="0.40986609157931692"/>
        </c:manualLayout>
      </c:layout>
      <c:barChart>
        <c:barDir val="col"/>
        <c:grouping val="clustered"/>
        <c:varyColors val="0"/>
        <c:ser>
          <c:idx val="0"/>
          <c:order val="0"/>
          <c:tx>
            <c:strRef>
              <c:f>'7. EDUC, CIEN, CULT Y DEP'!$D$102</c:f>
              <c:strCache>
                <c:ptCount val="1"/>
                <c:pt idx="0">
                  <c:v>Masculinizadas</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DEP'!$T$13:$W$13</c:f>
              <c:strCache>
                <c:ptCount val="4"/>
                <c:pt idx="0">
                  <c:v>2020-2021</c:v>
                </c:pt>
                <c:pt idx="1">
                  <c:v>2021-2022</c:v>
                </c:pt>
                <c:pt idx="2">
                  <c:v>2022-2023</c:v>
                </c:pt>
                <c:pt idx="3">
                  <c:v>2023-2024</c:v>
                </c:pt>
              </c:strCache>
            </c:strRef>
          </c:cat>
          <c:val>
            <c:numRef>
              <c:f>'7. EDUC, CIEN, CULT Y DEP'!$T$102:$W$102</c:f>
              <c:numCache>
                <c:formatCode>0.0</c:formatCode>
                <c:ptCount val="4"/>
                <c:pt idx="0">
                  <c:v>60</c:v>
                </c:pt>
                <c:pt idx="1">
                  <c:v>57.142857142857139</c:v>
                </c:pt>
                <c:pt idx="2">
                  <c:v>50</c:v>
                </c:pt>
                <c:pt idx="3">
                  <c:v>47.619047619047599</c:v>
                </c:pt>
              </c:numCache>
            </c:numRef>
          </c:val>
          <c:extLst>
            <c:ext xmlns:c16="http://schemas.microsoft.com/office/drawing/2014/chart" uri="{C3380CC4-5D6E-409C-BE32-E72D297353CC}">
              <c16:uniqueId val="{00000000-1380-4832-B383-06480295B620}"/>
            </c:ext>
          </c:extLst>
        </c:ser>
        <c:ser>
          <c:idx val="1"/>
          <c:order val="1"/>
          <c:tx>
            <c:strRef>
              <c:f>'7. EDUC, CIEN, CULT Y DEP'!$D$103</c:f>
              <c:strCache>
                <c:ptCount val="1"/>
                <c:pt idx="0">
                  <c:v>Feminizadas</c:v>
                </c:pt>
              </c:strCache>
            </c:strRef>
          </c:tx>
          <c:spPr>
            <a:solidFill>
              <a:srgbClr val="FF5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DEP'!$T$13:$W$13</c:f>
              <c:strCache>
                <c:ptCount val="4"/>
                <c:pt idx="0">
                  <c:v>2020-2021</c:v>
                </c:pt>
                <c:pt idx="1">
                  <c:v>2021-2022</c:v>
                </c:pt>
                <c:pt idx="2">
                  <c:v>2022-2023</c:v>
                </c:pt>
                <c:pt idx="3">
                  <c:v>2023-2024</c:v>
                </c:pt>
              </c:strCache>
            </c:strRef>
          </c:cat>
          <c:val>
            <c:numRef>
              <c:f>'7. EDUC, CIEN, CULT Y DEP'!$T$103:$W$103</c:f>
              <c:numCache>
                <c:formatCode>0.0</c:formatCode>
                <c:ptCount val="4"/>
                <c:pt idx="0">
                  <c:v>20</c:v>
                </c:pt>
                <c:pt idx="1">
                  <c:v>19.047619047619047</c:v>
                </c:pt>
                <c:pt idx="2">
                  <c:v>30</c:v>
                </c:pt>
                <c:pt idx="3">
                  <c:v>28.571428571428598</c:v>
                </c:pt>
              </c:numCache>
            </c:numRef>
          </c:val>
          <c:extLst>
            <c:ext xmlns:c16="http://schemas.microsoft.com/office/drawing/2014/chart" uri="{C3380CC4-5D6E-409C-BE32-E72D297353CC}">
              <c16:uniqueId val="{0000001B-F4ED-42E3-BEB2-C206C655E55A}"/>
            </c:ext>
          </c:extLst>
        </c:ser>
        <c:ser>
          <c:idx val="2"/>
          <c:order val="2"/>
          <c:tx>
            <c:strRef>
              <c:f>'7. EDUC, CIEN, CULT Y DEP'!$D$104</c:f>
              <c:strCache>
                <c:ptCount val="1"/>
                <c:pt idx="0">
                  <c:v>En equilibrio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DEP'!$T$13:$W$13</c:f>
              <c:strCache>
                <c:ptCount val="4"/>
                <c:pt idx="0">
                  <c:v>2020-2021</c:v>
                </c:pt>
                <c:pt idx="1">
                  <c:v>2021-2022</c:v>
                </c:pt>
                <c:pt idx="2">
                  <c:v>2022-2023</c:v>
                </c:pt>
                <c:pt idx="3">
                  <c:v>2023-2024</c:v>
                </c:pt>
              </c:strCache>
            </c:strRef>
          </c:cat>
          <c:val>
            <c:numRef>
              <c:f>'7. EDUC, CIEN, CULT Y DEP'!$T$104:$W$104</c:f>
              <c:numCache>
                <c:formatCode>0.0</c:formatCode>
                <c:ptCount val="4"/>
                <c:pt idx="0">
                  <c:v>20</c:v>
                </c:pt>
                <c:pt idx="1">
                  <c:v>23.809523809523807</c:v>
                </c:pt>
                <c:pt idx="2">
                  <c:v>20</c:v>
                </c:pt>
                <c:pt idx="3">
                  <c:v>23.8095238095238</c:v>
                </c:pt>
              </c:numCache>
            </c:numRef>
          </c:val>
          <c:extLst>
            <c:ext xmlns:c16="http://schemas.microsoft.com/office/drawing/2014/chart" uri="{C3380CC4-5D6E-409C-BE32-E72D297353CC}">
              <c16:uniqueId val="{0000001C-F4ED-42E3-BEB2-C206C655E55A}"/>
            </c:ext>
          </c:extLst>
        </c:ser>
        <c:dLbls>
          <c:showLegendKey val="0"/>
          <c:showVal val="0"/>
          <c:showCatName val="0"/>
          <c:showSerName val="0"/>
          <c:showPercent val="0"/>
          <c:showBubbleSize val="0"/>
        </c:dLbls>
        <c:gapWidth val="219"/>
        <c:axId val="1113518191"/>
        <c:axId val="577015440"/>
      </c:barChart>
      <c:catAx>
        <c:axId val="111351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7015440"/>
        <c:crosses val="autoZero"/>
        <c:auto val="1"/>
        <c:lblAlgn val="ctr"/>
        <c:lblOffset val="100"/>
        <c:noMultiLvlLbl val="0"/>
      </c:catAx>
      <c:valAx>
        <c:axId val="57701544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135181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7.4 Alumnado matriculado en grado universitario y ciclo por ámbitos de estudio de carreras CTIM</a:t>
            </a:r>
            <a:r>
              <a:rPr lang="it-IT" sz="1200" b="1" baseline="0"/>
              <a:t> </a:t>
            </a:r>
            <a:r>
              <a:rPr lang="it-IT" sz="1200" b="1"/>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043595965598641"/>
          <c:y val="0.22214022140221401"/>
          <c:w val="0.76161155956134419"/>
          <c:h val="0.43019050662947572"/>
        </c:manualLayout>
      </c:layout>
      <c:barChart>
        <c:barDir val="col"/>
        <c:grouping val="clustered"/>
        <c:varyColors val="0"/>
        <c:ser>
          <c:idx val="2"/>
          <c:order val="2"/>
          <c:tx>
            <c:strRef>
              <c:f>'7. EDUC, CIEN, CULT Y DEP'!$C$207:$D$207</c:f>
              <c:strCache>
                <c:ptCount val="2"/>
                <c:pt idx="0">
                  <c:v>Brecha (punt.porc.)</c:v>
                </c:pt>
              </c:strCache>
            </c:strRef>
          </c:tx>
          <c:spPr>
            <a:solidFill>
              <a:srgbClr val="FF8989"/>
            </a:solidFill>
            <a:ln>
              <a:noFill/>
            </a:ln>
            <a:effectLst/>
          </c:spPr>
          <c:invertIfNegative val="0"/>
          <c:dLbls>
            <c:dLbl>
              <c:idx val="0"/>
              <c:layout>
                <c:manualLayout>
                  <c:x val="0"/>
                  <c:y val="3.7212746525806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22-47EF-BC50-2019F9E62A3C}"/>
                </c:ext>
              </c:extLst>
            </c:dLbl>
            <c:dLbl>
              <c:idx val="1"/>
              <c:layout>
                <c:manualLayout>
                  <c:x val="2.2988441581278767E-3"/>
                  <c:y val="8.01619233332518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22-47EF-BC50-2019F9E62A3C}"/>
                </c:ext>
              </c:extLst>
            </c:dLbl>
            <c:dLbl>
              <c:idx val="2"/>
              <c:layout>
                <c:manualLayout>
                  <c:x val="0"/>
                  <c:y val="3.8364640156658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E5-41E4-943A-493592F094E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'7. EDUC, CIEN, CULT Y DEP'!$O$197:$U$197</c15:sqref>
                  </c15:fullRef>
                </c:ext>
              </c:extLst>
              <c:f>('7. EDUC, CIEN, CULT Y DEP'!$O$197,'7. EDUC, CIEN, CULT Y DEP'!$T$197:$U$197)</c:f>
              <c:strCache>
                <c:ptCount val="3"/>
                <c:pt idx="0">
                  <c:v>2015-2016</c:v>
                </c:pt>
                <c:pt idx="1">
                  <c:v>2020-2021</c:v>
                </c:pt>
                <c:pt idx="2">
                  <c:v>2021-2022</c:v>
                </c:pt>
              </c:strCache>
            </c:strRef>
          </c:cat>
          <c:val>
            <c:numRef>
              <c:extLst>
                <c:ext xmlns:c15="http://schemas.microsoft.com/office/drawing/2012/chart" uri="{02D57815-91ED-43cb-92C2-25804820EDAC}">
                  <c15:fullRef>
                    <c15:sqref>'7. EDUC, CIEN, CULT Y DEP'!$O$207:$U$207</c15:sqref>
                  </c15:fullRef>
                </c:ext>
              </c:extLst>
              <c:f>('7. EDUC, CIEN, CULT Y DEP'!$O$207,'7. EDUC, CIEN, CULT Y DEP'!$T$207:$U$207)</c:f>
              <c:numCache>
                <c:formatCode>0.0</c:formatCode>
                <c:ptCount val="3"/>
                <c:pt idx="0">
                  <c:v>-22.330790480722076</c:v>
                </c:pt>
                <c:pt idx="1">
                  <c:v>-22.466345800124436</c:v>
                </c:pt>
                <c:pt idx="2">
                  <c:v>-22.85028392912033</c:v>
                </c:pt>
              </c:numCache>
            </c:numRef>
          </c:val>
          <c:extLst>
            <c:ext xmlns:c16="http://schemas.microsoft.com/office/drawing/2014/chart" uri="{C3380CC4-5D6E-409C-BE32-E72D297353CC}">
              <c16:uniqueId val="{00000003-BB22-47EF-BC50-2019F9E62A3C}"/>
            </c:ext>
          </c:extLst>
        </c:ser>
        <c:dLbls>
          <c:showLegendKey val="0"/>
          <c:showVal val="0"/>
          <c:showCatName val="0"/>
          <c:showSerName val="0"/>
          <c:showPercent val="0"/>
          <c:showBubbleSize val="0"/>
        </c:dLbls>
        <c:gapWidth val="219"/>
        <c:axId val="709654288"/>
        <c:axId val="808168320"/>
      </c:barChart>
      <c:lineChart>
        <c:grouping val="standard"/>
        <c:varyColors val="0"/>
        <c:ser>
          <c:idx val="0"/>
          <c:order val="0"/>
          <c:tx>
            <c:v>Hombres (%)</c:v>
          </c:tx>
          <c:spPr>
            <a:ln w="1270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strRef>
              <c:extLst>
                <c:ext xmlns:c15="http://schemas.microsoft.com/office/drawing/2012/chart" uri="{02D57815-91ED-43cb-92C2-25804820EDAC}">
                  <c15:fullRef>
                    <c15:sqref>'7. EDUC, CIEN, CULT Y DEP'!$O$197:$U$197</c15:sqref>
                  </c15:fullRef>
                </c:ext>
              </c:extLst>
              <c:f>('7. EDUC, CIEN, CULT Y DEP'!$O$197,'7. EDUC, CIEN, CULT Y DEP'!$T$197:$U$197)</c:f>
              <c:strCache>
                <c:ptCount val="3"/>
                <c:pt idx="0">
                  <c:v>2015-2016</c:v>
                </c:pt>
                <c:pt idx="1">
                  <c:v>2020-2021</c:v>
                </c:pt>
                <c:pt idx="2">
                  <c:v>2021-2022</c:v>
                </c:pt>
              </c:strCache>
            </c:strRef>
          </c:cat>
          <c:val>
            <c:numRef>
              <c:extLst>
                <c:ext xmlns:c15="http://schemas.microsoft.com/office/drawing/2012/chart" uri="{02D57815-91ED-43cb-92C2-25804820EDAC}">
                  <c15:fullRef>
                    <c15:sqref>'7. EDUC, CIEN, CULT Y DEP'!$O$205:$U$205</c15:sqref>
                  </c15:fullRef>
                </c:ext>
              </c:extLst>
              <c:f>('7. EDUC, CIEN, CULT Y DEP'!$O$205,'7. EDUC, CIEN, CULT Y DEP'!$T$205:$U$205)</c:f>
              <c:numCache>
                <c:formatCode>0.0</c:formatCode>
                <c:ptCount val="3"/>
                <c:pt idx="0">
                  <c:v>39.723424567387454</c:v>
                </c:pt>
                <c:pt idx="1">
                  <c:v>38.369564202843087</c:v>
                </c:pt>
                <c:pt idx="2">
                  <c:v>39.196088775010359</c:v>
                </c:pt>
              </c:numCache>
            </c:numRef>
          </c:val>
          <c:smooth val="0"/>
          <c:extLst>
            <c:ext xmlns:c16="http://schemas.microsoft.com/office/drawing/2014/chart" uri="{C3380CC4-5D6E-409C-BE32-E72D297353CC}">
              <c16:uniqueId val="{00000004-BB22-47EF-BC50-2019F9E62A3C}"/>
            </c:ext>
          </c:extLst>
        </c:ser>
        <c:ser>
          <c:idx val="1"/>
          <c:order val="1"/>
          <c:tx>
            <c:v>Mujeres (%)</c:v>
          </c:tx>
          <c:spPr>
            <a:ln w="12700" cap="rnd">
              <a:solidFill>
                <a:srgbClr val="C00000"/>
              </a:solidFill>
              <a:round/>
            </a:ln>
            <a:effectLst/>
          </c:spPr>
          <c:marker>
            <c:symbol val="circle"/>
            <c:size val="5"/>
            <c:spPr>
              <a:solidFill>
                <a:srgbClr val="C00000"/>
              </a:solidFill>
              <a:ln w="9525">
                <a:solidFill>
                  <a:srgbClr val="C00000"/>
                </a:solidFill>
              </a:ln>
              <a:effectLst/>
            </c:spPr>
          </c:marker>
          <c:cat>
            <c:strRef>
              <c:extLst>
                <c:ext xmlns:c15="http://schemas.microsoft.com/office/drawing/2012/chart" uri="{02D57815-91ED-43cb-92C2-25804820EDAC}">
                  <c15:fullRef>
                    <c15:sqref>'7. EDUC, CIEN, CULT Y DEP'!$O$197:$U$197</c15:sqref>
                  </c15:fullRef>
                </c:ext>
              </c:extLst>
              <c:f>('7. EDUC, CIEN, CULT Y DEP'!$O$197,'7. EDUC, CIEN, CULT Y DEP'!$T$197:$U$197)</c:f>
              <c:strCache>
                <c:ptCount val="3"/>
                <c:pt idx="0">
                  <c:v>2015-2016</c:v>
                </c:pt>
                <c:pt idx="1">
                  <c:v>2020-2021</c:v>
                </c:pt>
                <c:pt idx="2">
                  <c:v>2021-2022</c:v>
                </c:pt>
              </c:strCache>
            </c:strRef>
          </c:cat>
          <c:val>
            <c:numRef>
              <c:extLst>
                <c:ext xmlns:c15="http://schemas.microsoft.com/office/drawing/2012/chart" uri="{02D57815-91ED-43cb-92C2-25804820EDAC}">
                  <c15:fullRef>
                    <c15:sqref>'7. EDUC, CIEN, CULT Y DEP'!$O$206:$U$206</c15:sqref>
                  </c15:fullRef>
                </c:ext>
              </c:extLst>
              <c:f>('7. EDUC, CIEN, CULT Y DEP'!$O$206,'7. EDUC, CIEN, CULT Y DEP'!$T$206:$U$206)</c:f>
              <c:numCache>
                <c:formatCode>0.0</c:formatCode>
                <c:ptCount val="3"/>
                <c:pt idx="0">
                  <c:v>17.392634086665378</c:v>
                </c:pt>
                <c:pt idx="1">
                  <c:v>15.90321840271865</c:v>
                </c:pt>
                <c:pt idx="2">
                  <c:v>16.345804845890029</c:v>
                </c:pt>
              </c:numCache>
            </c:numRef>
          </c:val>
          <c:smooth val="0"/>
          <c:extLst>
            <c:ext xmlns:c16="http://schemas.microsoft.com/office/drawing/2014/chart" uri="{C3380CC4-5D6E-409C-BE32-E72D297353CC}">
              <c16:uniqueId val="{00000005-BB22-47EF-BC50-2019F9E62A3C}"/>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min val="-5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36026894934055997"/>
          <c:y val="0.90485911515531847"/>
          <c:w val="0.57237198999608396"/>
          <c:h val="6.72463131471603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7.6 Personal de investigación en las universidades madrileñas</a:t>
            </a:r>
          </a:p>
        </c:rich>
      </c:tx>
      <c:layout>
        <c:manualLayout>
          <c:xMode val="edge"/>
          <c:yMode val="edge"/>
          <c:x val="0.18998361170540459"/>
          <c:y val="2.390737492317167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'7. EDUC, CIEN, CULT Y DEP'!$C$233:$C$233</c:f>
              <c:strCache>
                <c:ptCount val="1"/>
                <c:pt idx="0">
                  <c:v>Brecha (N)</c:v>
                </c:pt>
              </c:strCache>
            </c:strRef>
          </c:tx>
          <c:spPr>
            <a:solidFill>
              <a:srgbClr val="FF8989">
                <a:alpha val="80000"/>
              </a:srgbClr>
            </a:solidFill>
            <a:ln>
              <a:noFill/>
            </a:ln>
            <a:effectLst/>
          </c:spPr>
          <c:invertIfNegative val="0"/>
          <c:dLbls>
            <c:dLbl>
              <c:idx val="0"/>
              <c:layout>
                <c:manualLayout>
                  <c:x val="-4.5626584131648858E-3"/>
                  <c:y val="2.464353386982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40-40BF-BB93-D78EC7AB1313}"/>
                </c:ext>
              </c:extLst>
            </c:dLbl>
            <c:dLbl>
              <c:idx val="1"/>
              <c:layout>
                <c:manualLayout>
                  <c:x val="-8.3647771268497946E-17"/>
                  <c:y val="2.0536278224850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40-40BF-BB93-D78EC7AB1313}"/>
                </c:ext>
              </c:extLst>
            </c:dLbl>
            <c:dLbl>
              <c:idx val="2"/>
              <c:layout>
                <c:manualLayout>
                  <c:x val="0"/>
                  <c:y val="2.4643533869820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40-40BF-BB93-D78EC7AB131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DEP'!$S$229:$U$229</c:f>
              <c:strCache>
                <c:ptCount val="3"/>
                <c:pt idx="0">
                  <c:v>2019-2020</c:v>
                </c:pt>
                <c:pt idx="1">
                  <c:v>2020-2021</c:v>
                </c:pt>
                <c:pt idx="2">
                  <c:v>2021-2022</c:v>
                </c:pt>
              </c:strCache>
            </c:strRef>
          </c:cat>
          <c:val>
            <c:numRef>
              <c:f>'7. EDUC, CIEN, CULT Y DEP'!$S$233:$U$233</c:f>
              <c:numCache>
                <c:formatCode>#,##0</c:formatCode>
                <c:ptCount val="3"/>
                <c:pt idx="0">
                  <c:v>-2352</c:v>
                </c:pt>
                <c:pt idx="1">
                  <c:v>-2219</c:v>
                </c:pt>
                <c:pt idx="2">
                  <c:v>-2299</c:v>
                </c:pt>
              </c:numCache>
            </c:numRef>
          </c:val>
          <c:extLst>
            <c:ext xmlns:c16="http://schemas.microsoft.com/office/drawing/2014/chart" uri="{C3380CC4-5D6E-409C-BE32-E72D297353CC}">
              <c16:uniqueId val="{00000003-39BE-4F50-B6A6-56FB652ED6EB}"/>
            </c:ext>
          </c:extLst>
        </c:ser>
        <c:dLbls>
          <c:showLegendKey val="0"/>
          <c:showVal val="0"/>
          <c:showCatName val="0"/>
          <c:showSerName val="0"/>
          <c:showPercent val="0"/>
          <c:showBubbleSize val="0"/>
        </c:dLbls>
        <c:gapWidth val="219"/>
        <c:axId val="709654288"/>
        <c:axId val="808168320"/>
      </c:barChart>
      <c:lineChart>
        <c:grouping val="standard"/>
        <c:varyColors val="0"/>
        <c:ser>
          <c:idx val="0"/>
          <c:order val="0"/>
          <c:tx>
            <c:strRef>
              <c:f>'7. EDUC, CIEN, CULT Y DEP'!$C$231:$D$231</c:f>
              <c:strCache>
                <c:ptCount val="2"/>
                <c:pt idx="0">
                  <c:v>Hombres</c:v>
                </c:pt>
              </c:strCache>
            </c:strRef>
          </c:tx>
          <c:spPr>
            <a:ln w="1270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noFill/>
                <a:prstDash val="solid"/>
                <a:miter lim="800000"/>
              </a:ln>
              <a:effectLst/>
            </c:spPr>
          </c:marker>
          <c:cat>
            <c:strRef>
              <c:f>'7. EDUC, CIEN, CULT Y DEP'!$S$229:$U$229</c:f>
              <c:strCache>
                <c:ptCount val="3"/>
                <c:pt idx="0">
                  <c:v>2019-2020</c:v>
                </c:pt>
                <c:pt idx="1">
                  <c:v>2020-2021</c:v>
                </c:pt>
                <c:pt idx="2">
                  <c:v>2021-2022</c:v>
                </c:pt>
              </c:strCache>
            </c:strRef>
          </c:cat>
          <c:val>
            <c:numRef>
              <c:f>'7. EDUC, CIEN, CULT Y DEP'!$S$231:$U$231</c:f>
              <c:numCache>
                <c:formatCode>#,##0</c:formatCode>
                <c:ptCount val="3"/>
                <c:pt idx="0">
                  <c:v>10269</c:v>
                </c:pt>
                <c:pt idx="1">
                  <c:v>10332</c:v>
                </c:pt>
                <c:pt idx="2">
                  <c:v>10736</c:v>
                </c:pt>
              </c:numCache>
            </c:numRef>
          </c:val>
          <c:smooth val="0"/>
          <c:extLst>
            <c:ext xmlns:c16="http://schemas.microsoft.com/office/drawing/2014/chart" uri="{C3380CC4-5D6E-409C-BE32-E72D297353CC}">
              <c16:uniqueId val="{00000004-39BE-4F50-B6A6-56FB652ED6EB}"/>
            </c:ext>
          </c:extLst>
        </c:ser>
        <c:ser>
          <c:idx val="1"/>
          <c:order val="1"/>
          <c:tx>
            <c:strRef>
              <c:f>'7. EDUC, CIEN, CULT Y DEP'!$C$232:$D$232</c:f>
              <c:strCache>
                <c:ptCount val="2"/>
                <c:pt idx="0">
                  <c:v>Mujeres</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strRef>
              <c:f>'7. EDUC, CIEN, CULT Y DEP'!$S$229:$U$229</c:f>
              <c:strCache>
                <c:ptCount val="3"/>
                <c:pt idx="0">
                  <c:v>2019-2020</c:v>
                </c:pt>
                <c:pt idx="1">
                  <c:v>2020-2021</c:v>
                </c:pt>
                <c:pt idx="2">
                  <c:v>2021-2022</c:v>
                </c:pt>
              </c:strCache>
            </c:strRef>
          </c:cat>
          <c:val>
            <c:numRef>
              <c:f>'7. EDUC, CIEN, CULT Y DEP'!$S$232:$U$232</c:f>
              <c:numCache>
                <c:formatCode>#,##0</c:formatCode>
                <c:ptCount val="3"/>
                <c:pt idx="0">
                  <c:v>7917</c:v>
                </c:pt>
                <c:pt idx="1">
                  <c:v>8113</c:v>
                </c:pt>
                <c:pt idx="2">
                  <c:v>8437</c:v>
                </c:pt>
              </c:numCache>
            </c:numRef>
          </c:val>
          <c:smooth val="0"/>
          <c:extLst>
            <c:ext xmlns:c16="http://schemas.microsoft.com/office/drawing/2014/chart" uri="{C3380CC4-5D6E-409C-BE32-E72D297353CC}">
              <c16:uniqueId val="{00000005-39BE-4F50-B6A6-56FB652ED6EB}"/>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7.8 Distinciones honoríficas otorgadas por el Ayuntamiento de Madrid</a:t>
            </a:r>
          </a:p>
        </c:rich>
      </c:tx>
      <c:layout>
        <c:manualLayout>
          <c:xMode val="edge"/>
          <c:yMode val="edge"/>
          <c:x val="0.15592656978852093"/>
          <c:y val="2.390731482223010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708890666741523"/>
          <c:y val="0.17576642335766424"/>
          <c:w val="0.75676730248291157"/>
          <c:h val="0.52643459713521212"/>
        </c:manualLayout>
      </c:layout>
      <c:barChart>
        <c:barDir val="col"/>
        <c:grouping val="clustered"/>
        <c:varyColors val="0"/>
        <c:ser>
          <c:idx val="2"/>
          <c:order val="2"/>
          <c:tx>
            <c:strRef>
              <c:f>'7. EDUC, CIEN, CULT Y DEP'!$C$245:$D$245</c:f>
              <c:strCache>
                <c:ptCount val="2"/>
                <c:pt idx="0">
                  <c:v>% Mujeres</c:v>
                </c:pt>
              </c:strCache>
            </c:strRef>
          </c:tx>
          <c:spPr>
            <a:solidFill>
              <a:srgbClr val="FF8989">
                <a:alpha val="80000"/>
              </a:srgbClr>
            </a:solidFill>
            <a:ln>
              <a:noFill/>
            </a:ln>
            <a:effectLst/>
          </c:spPr>
          <c:invertIfNegative val="0"/>
          <c:cat>
            <c:numRef>
              <c:f>'7. EDUC, CIEN, CULT Y DEP'!$T$241:$X$241</c:f>
              <c:numCache>
                <c:formatCode>General</c:formatCode>
                <c:ptCount val="5"/>
                <c:pt idx="0">
                  <c:v>2020</c:v>
                </c:pt>
                <c:pt idx="1">
                  <c:v>2021</c:v>
                </c:pt>
                <c:pt idx="2">
                  <c:v>2022</c:v>
                </c:pt>
                <c:pt idx="3">
                  <c:v>2023</c:v>
                </c:pt>
                <c:pt idx="4">
                  <c:v>2024</c:v>
                </c:pt>
              </c:numCache>
            </c:numRef>
          </c:cat>
          <c:val>
            <c:numRef>
              <c:f>'7. EDUC, CIEN, CULT Y DEP'!$T$245:$X$245</c:f>
              <c:numCache>
                <c:formatCode>#,##0.0</c:formatCode>
                <c:ptCount val="5"/>
                <c:pt idx="0">
                  <c:v>0</c:v>
                </c:pt>
                <c:pt idx="1">
                  <c:v>30</c:v>
                </c:pt>
                <c:pt idx="2">
                  <c:v>35.714285714285715</c:v>
                </c:pt>
                <c:pt idx="3">
                  <c:v>17.391304347826086</c:v>
                </c:pt>
                <c:pt idx="4">
                  <c:v>11.111111111111111</c:v>
                </c:pt>
              </c:numCache>
            </c:numRef>
          </c:val>
          <c:extLst>
            <c:ext xmlns:c16="http://schemas.microsoft.com/office/drawing/2014/chart" uri="{C3380CC4-5D6E-409C-BE32-E72D297353CC}">
              <c16:uniqueId val="{00000002-5A46-40AE-A049-3E0A46BF2E4E}"/>
            </c:ext>
          </c:extLst>
        </c:ser>
        <c:dLbls>
          <c:showLegendKey val="0"/>
          <c:showVal val="0"/>
          <c:showCatName val="0"/>
          <c:showSerName val="0"/>
          <c:showPercent val="0"/>
          <c:showBubbleSize val="0"/>
        </c:dLbls>
        <c:gapWidth val="150"/>
        <c:axId val="709654288"/>
        <c:axId val="808168320"/>
      </c:barChart>
      <c:lineChart>
        <c:grouping val="standard"/>
        <c:varyColors val="0"/>
        <c:ser>
          <c:idx val="0"/>
          <c:order val="0"/>
          <c:tx>
            <c:v>Hombres (%)</c:v>
          </c:tx>
          <c:spPr>
            <a:ln w="19050" cap="rnd">
              <a:solidFill>
                <a:schemeClr val="tx1">
                  <a:lumMod val="50000"/>
                  <a:lumOff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f>'7. EDUC, CIEN, CULT Y DEP'!$T$241:$X$241</c:f>
              <c:numCache>
                <c:formatCode>General</c:formatCode>
                <c:ptCount val="5"/>
                <c:pt idx="0">
                  <c:v>2020</c:v>
                </c:pt>
                <c:pt idx="1">
                  <c:v>2021</c:v>
                </c:pt>
                <c:pt idx="2">
                  <c:v>2022</c:v>
                </c:pt>
                <c:pt idx="3">
                  <c:v>2023</c:v>
                </c:pt>
                <c:pt idx="4">
                  <c:v>2024</c:v>
                </c:pt>
              </c:numCache>
            </c:numRef>
          </c:cat>
          <c:val>
            <c:numRef>
              <c:f>'7. EDUC, CIEN, CULT Y DEP'!$T$243:$X$243</c:f>
              <c:numCache>
                <c:formatCode>_-* #,##0_-;\-* #,##0_-;_-* "-"??_-;_-@_-</c:formatCode>
                <c:ptCount val="5"/>
                <c:pt idx="0">
                  <c:v>1</c:v>
                </c:pt>
                <c:pt idx="1">
                  <c:v>7</c:v>
                </c:pt>
                <c:pt idx="2">
                  <c:v>9</c:v>
                </c:pt>
                <c:pt idx="3">
                  <c:v>19</c:v>
                </c:pt>
                <c:pt idx="4">
                  <c:v>5</c:v>
                </c:pt>
              </c:numCache>
            </c:numRef>
          </c:val>
          <c:smooth val="0"/>
          <c:extLst>
            <c:ext xmlns:c16="http://schemas.microsoft.com/office/drawing/2014/chart" uri="{C3380CC4-5D6E-409C-BE32-E72D297353CC}">
              <c16:uniqueId val="{00000003-5A46-40AE-A049-3E0A46BF2E4E}"/>
            </c:ext>
          </c:extLst>
        </c:ser>
        <c:ser>
          <c:idx val="1"/>
          <c:order val="1"/>
          <c:tx>
            <c:v>Mujeres (%)</c:v>
          </c:tx>
          <c:spPr>
            <a:ln w="15875" cap="rnd">
              <a:solidFill>
                <a:srgbClr val="C00000"/>
              </a:solidFill>
              <a:round/>
            </a:ln>
            <a:effectLst/>
          </c:spPr>
          <c:marker>
            <c:symbol val="circle"/>
            <c:size val="5"/>
            <c:spPr>
              <a:solidFill>
                <a:srgbClr val="C00000"/>
              </a:solidFill>
              <a:ln w="9525">
                <a:solidFill>
                  <a:srgbClr val="C00000"/>
                </a:solidFill>
              </a:ln>
              <a:effectLst/>
            </c:spPr>
          </c:marker>
          <c:cat>
            <c:numRef>
              <c:f>'7. EDUC, CIEN, CULT Y DEP'!$T$241:$X$241</c:f>
              <c:numCache>
                <c:formatCode>General</c:formatCode>
                <c:ptCount val="5"/>
                <c:pt idx="0">
                  <c:v>2020</c:v>
                </c:pt>
                <c:pt idx="1">
                  <c:v>2021</c:v>
                </c:pt>
                <c:pt idx="2">
                  <c:v>2022</c:v>
                </c:pt>
                <c:pt idx="3">
                  <c:v>2023</c:v>
                </c:pt>
                <c:pt idx="4">
                  <c:v>2024</c:v>
                </c:pt>
              </c:numCache>
            </c:numRef>
          </c:cat>
          <c:val>
            <c:numRef>
              <c:f>'7. EDUC, CIEN, CULT Y DEP'!$T$244:$X$244</c:f>
              <c:numCache>
                <c:formatCode>_-* #,##0_-;\-* #,##0_-;_-* "-"??_-;_-@_-</c:formatCode>
                <c:ptCount val="5"/>
                <c:pt idx="0">
                  <c:v>0</c:v>
                </c:pt>
                <c:pt idx="1">
                  <c:v>3</c:v>
                </c:pt>
                <c:pt idx="2">
                  <c:v>5</c:v>
                </c:pt>
                <c:pt idx="3">
                  <c:v>4</c:v>
                </c:pt>
                <c:pt idx="4">
                  <c:v>2</c:v>
                </c:pt>
              </c:numCache>
            </c:numRef>
          </c:val>
          <c:smooth val="0"/>
          <c:extLst>
            <c:ext xmlns:c16="http://schemas.microsoft.com/office/drawing/2014/chart" uri="{C3380CC4-5D6E-409C-BE32-E72D297353CC}">
              <c16:uniqueId val="{00000004-5A46-40AE-A049-3E0A46BF2E4E}"/>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7.9 Licencias federadas</a:t>
            </a:r>
          </a:p>
        </c:rich>
      </c:tx>
      <c:layout>
        <c:manualLayout>
          <c:xMode val="edge"/>
          <c:yMode val="edge"/>
          <c:x val="0.41384716565382984"/>
          <c:y val="2.063539337740290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006896286551555"/>
          <c:y val="0.1333683473389356"/>
          <c:w val="0.76202730501031279"/>
          <c:h val="0.57322641655087236"/>
        </c:manualLayout>
      </c:layout>
      <c:barChart>
        <c:barDir val="col"/>
        <c:grouping val="stacked"/>
        <c:varyColors val="0"/>
        <c:ser>
          <c:idx val="2"/>
          <c:order val="2"/>
          <c:tx>
            <c:strRef>
              <c:f>'7. EDUC, CIEN, CULT Y DEP'!$C$250:$D$250</c:f>
              <c:strCache>
                <c:ptCount val="2"/>
                <c:pt idx="0">
                  <c:v>Brecha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('7. EDUC, CIEN, CULT Y DEP'!$J$250,'7. EDUC, CIEN, CULT Y DEP'!$O$250,'7. EDUC, CIEN, CULT Y DEP'!$T$250,'7. EDUC, CIEN, CULT Y DEP'!$U$250,'7. EDUC, CIEN, CULT Y DEP'!$V$250,'7. EDUC, CIEN, CULT Y DEP'!$W$250)</c:f>
              <c:numCache>
                <c:formatCode>#,##0</c:formatCode>
                <c:ptCount val="6"/>
                <c:pt idx="0">
                  <c:v>-215558</c:v>
                </c:pt>
                <c:pt idx="1">
                  <c:v>-215733</c:v>
                </c:pt>
                <c:pt idx="2">
                  <c:v>-226930</c:v>
                </c:pt>
                <c:pt idx="3">
                  <c:v>-208004</c:v>
                </c:pt>
                <c:pt idx="4">
                  <c:v>-253288</c:v>
                </c:pt>
                <c:pt idx="5">
                  <c:v>-264624</c:v>
                </c:pt>
              </c:numCache>
            </c:numRef>
          </c:val>
          <c:extLst>
            <c:ext xmlns:c16="http://schemas.microsoft.com/office/drawing/2014/chart" uri="{C3380CC4-5D6E-409C-BE32-E72D297353CC}">
              <c16:uniqueId val="{00000000-2D25-47B2-ADCA-932128669E90}"/>
            </c:ext>
          </c:extLst>
        </c:ser>
        <c:dLbls>
          <c:showLegendKey val="0"/>
          <c:showVal val="0"/>
          <c:showCatName val="0"/>
          <c:showSerName val="0"/>
          <c:showPercent val="0"/>
          <c:showBubbleSize val="0"/>
        </c:dLbls>
        <c:gapWidth val="219"/>
        <c:overlap val="100"/>
        <c:axId val="709654288"/>
        <c:axId val="808168320"/>
      </c:barChart>
      <c:lineChart>
        <c:grouping val="standard"/>
        <c:varyColors val="0"/>
        <c:ser>
          <c:idx val="0"/>
          <c:order val="0"/>
          <c:tx>
            <c:strRef>
              <c:f>'7. EDUC, CIEN, CULT Y DEP'!$C$248:$D$248</c:f>
              <c:strCache>
                <c:ptCount val="2"/>
                <c:pt idx="0">
                  <c:v>Hombres (N)</c:v>
                </c:pt>
              </c:strCache>
            </c:strRef>
          </c:tx>
          <c:spPr>
            <a:ln w="19050" cap="rnd">
              <a:solidFill>
                <a:schemeClr val="bg2">
                  <a:lumMod val="50000"/>
                </a:schemeClr>
              </a:solidFill>
              <a:round/>
            </a:ln>
            <a:effectLst/>
          </c:spPr>
          <c:marker>
            <c:symbol val="circle"/>
            <c:size val="5"/>
            <c:spPr>
              <a:solidFill>
                <a:schemeClr val="tx1">
                  <a:lumMod val="50000"/>
                  <a:lumOff val="50000"/>
                </a:schemeClr>
              </a:solidFill>
              <a:ln w="9525">
                <a:noFill/>
              </a:ln>
              <a:effectLst/>
            </c:spPr>
          </c:marker>
          <c:cat>
            <c:numRef>
              <c:f>('7. EDUC, CIEN, CULT Y DEP'!$J$246,'7. EDUC, CIEN, CULT Y DEP'!$O$246,'7. EDUC, CIEN, CULT Y DEP'!$T$246,'7. EDUC, CIEN, CULT Y DEP'!$U$246,'7. EDUC, CIEN, CULT Y DEP'!$V$246,'7. EDUC, CIEN, CULT Y DEP'!$W$246)</c:f>
              <c:numCache>
                <c:formatCode>General</c:formatCode>
                <c:ptCount val="6"/>
                <c:pt idx="0">
                  <c:v>2010</c:v>
                </c:pt>
                <c:pt idx="1">
                  <c:v>2015</c:v>
                </c:pt>
                <c:pt idx="2">
                  <c:v>2020</c:v>
                </c:pt>
                <c:pt idx="3">
                  <c:v>2021</c:v>
                </c:pt>
                <c:pt idx="4">
                  <c:v>2022</c:v>
                </c:pt>
                <c:pt idx="5">
                  <c:v>2023</c:v>
                </c:pt>
              </c:numCache>
            </c:numRef>
          </c:cat>
          <c:val>
            <c:numRef>
              <c:f>('7. EDUC, CIEN, CULT Y DEP'!$J$248,'7. EDUC, CIEN, CULT Y DEP'!$O$248,'7. EDUC, CIEN, CULT Y DEP'!$T$248,'7. EDUC, CIEN, CULT Y DEP'!$U$248,'7. EDUC, CIEN, CULT Y DEP'!$V$248,'7. EDUC, CIEN, CULT Y DEP'!$W$248)</c:f>
              <c:numCache>
                <c:formatCode>#,##0</c:formatCode>
                <c:ptCount val="6"/>
                <c:pt idx="0">
                  <c:v>317447</c:v>
                </c:pt>
                <c:pt idx="1">
                  <c:v>330832</c:v>
                </c:pt>
                <c:pt idx="2">
                  <c:v>364487</c:v>
                </c:pt>
                <c:pt idx="3">
                  <c:v>342294</c:v>
                </c:pt>
                <c:pt idx="4">
                  <c:v>406414</c:v>
                </c:pt>
                <c:pt idx="5">
                  <c:v>427140</c:v>
                </c:pt>
              </c:numCache>
            </c:numRef>
          </c:val>
          <c:smooth val="0"/>
          <c:extLst>
            <c:ext xmlns:c16="http://schemas.microsoft.com/office/drawing/2014/chart" uri="{C3380CC4-5D6E-409C-BE32-E72D297353CC}">
              <c16:uniqueId val="{00000001-2D25-47B2-ADCA-932128669E90}"/>
            </c:ext>
          </c:extLst>
        </c:ser>
        <c:ser>
          <c:idx val="1"/>
          <c:order val="1"/>
          <c:tx>
            <c:strRef>
              <c:f>'7. EDUC, CIEN, CULT Y DEP'!$C$249:$D$249</c:f>
              <c:strCache>
                <c:ptCount val="2"/>
                <c:pt idx="0">
                  <c:v>Mujeres (N)</c:v>
                </c:pt>
              </c:strCache>
            </c:strRef>
          </c:tx>
          <c:spPr>
            <a:ln w="19050" cap="rnd">
              <a:solidFill>
                <a:srgbClr val="C00000"/>
              </a:solidFill>
              <a:round/>
            </a:ln>
            <a:effectLst/>
          </c:spPr>
          <c:marker>
            <c:symbol val="circle"/>
            <c:size val="5"/>
            <c:spPr>
              <a:solidFill>
                <a:srgbClr val="C00000"/>
              </a:solidFill>
              <a:ln w="9525">
                <a:noFill/>
              </a:ln>
              <a:effectLst/>
            </c:spPr>
          </c:marker>
          <c:cat>
            <c:numRef>
              <c:f>('7. EDUC, CIEN, CULT Y DEP'!$J$246,'7. EDUC, CIEN, CULT Y DEP'!$O$246,'7. EDUC, CIEN, CULT Y DEP'!$T$246,'7. EDUC, CIEN, CULT Y DEP'!$U$246,'7. EDUC, CIEN, CULT Y DEP'!$V$246,'7. EDUC, CIEN, CULT Y DEP'!$W$246)</c:f>
              <c:numCache>
                <c:formatCode>General</c:formatCode>
                <c:ptCount val="6"/>
                <c:pt idx="0">
                  <c:v>2010</c:v>
                </c:pt>
                <c:pt idx="1">
                  <c:v>2015</c:v>
                </c:pt>
                <c:pt idx="2">
                  <c:v>2020</c:v>
                </c:pt>
                <c:pt idx="3">
                  <c:v>2021</c:v>
                </c:pt>
                <c:pt idx="4">
                  <c:v>2022</c:v>
                </c:pt>
                <c:pt idx="5">
                  <c:v>2023</c:v>
                </c:pt>
              </c:numCache>
            </c:numRef>
          </c:cat>
          <c:val>
            <c:numRef>
              <c:f>('7. EDUC, CIEN, CULT Y DEP'!$J$249,'7. EDUC, CIEN, CULT Y DEP'!$O$249,'7. EDUC, CIEN, CULT Y DEP'!$T$249,'7. EDUC, CIEN, CULT Y DEP'!$U$249,'7. EDUC, CIEN, CULT Y DEP'!$V$249,'7. EDUC, CIEN, CULT Y DEP'!$W$249)</c:f>
              <c:numCache>
                <c:formatCode>#,##0</c:formatCode>
                <c:ptCount val="6"/>
                <c:pt idx="0">
                  <c:v>101889</c:v>
                </c:pt>
                <c:pt idx="1">
                  <c:v>115099</c:v>
                </c:pt>
                <c:pt idx="2">
                  <c:v>137557</c:v>
                </c:pt>
                <c:pt idx="3">
                  <c:v>134290</c:v>
                </c:pt>
                <c:pt idx="4">
                  <c:v>153126</c:v>
                </c:pt>
                <c:pt idx="5">
                  <c:v>162516</c:v>
                </c:pt>
              </c:numCache>
            </c:numRef>
          </c:val>
          <c:smooth val="0"/>
          <c:extLst>
            <c:ext xmlns:c16="http://schemas.microsoft.com/office/drawing/2014/chart" uri="{C3380CC4-5D6E-409C-BE32-E72D297353CC}">
              <c16:uniqueId val="{00000002-2D25-47B2-ADCA-932128669E90}"/>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25349650793650791"/>
          <c:y val="0.93140779896468706"/>
          <c:w val="0.49034436310723617"/>
          <c:h val="6.85922586560194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7.10 Personas abonadas en centros deportivos municipales</a:t>
            </a:r>
          </a:p>
        </c:rich>
      </c:tx>
      <c:layout>
        <c:manualLayout>
          <c:xMode val="edge"/>
          <c:yMode val="edge"/>
          <c:x val="0.2330404604848865"/>
          <c:y val="2.390741638101329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7"/>
          <c:order val="2"/>
          <c:tx>
            <c:strRef>
              <c:f>'7. EDUC, CIEN, CULT Y DEP'!$C$259:$D$259</c:f>
              <c:strCache>
                <c:ptCount val="2"/>
                <c:pt idx="0">
                  <c:v>Brecha (N)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EDUC, CIEN, CULT Y DEP'!$T$255:$X$255</c:f>
              <c:numCache>
                <c:formatCode>General</c:formatCode>
                <c:ptCount val="5"/>
                <c:pt idx="0">
                  <c:v>2020</c:v>
                </c:pt>
                <c:pt idx="1">
                  <c:v>2021</c:v>
                </c:pt>
                <c:pt idx="2">
                  <c:v>2022</c:v>
                </c:pt>
                <c:pt idx="3">
                  <c:v>2023</c:v>
                </c:pt>
                <c:pt idx="4">
                  <c:v>2024</c:v>
                </c:pt>
              </c:numCache>
            </c:numRef>
          </c:cat>
          <c:val>
            <c:numRef>
              <c:f>'7. EDUC, CIEN, CULT Y DEP'!$T$259:$X$259</c:f>
              <c:numCache>
                <c:formatCode>#,##0</c:formatCode>
                <c:ptCount val="5"/>
                <c:pt idx="0">
                  <c:v>-1972</c:v>
                </c:pt>
                <c:pt idx="1">
                  <c:v>-3470</c:v>
                </c:pt>
                <c:pt idx="2">
                  <c:v>-4181</c:v>
                </c:pt>
                <c:pt idx="3">
                  <c:v>-2445</c:v>
                </c:pt>
                <c:pt idx="4">
                  <c:v>-630</c:v>
                </c:pt>
              </c:numCache>
            </c:numRef>
          </c:val>
          <c:extLst>
            <c:ext xmlns:c16="http://schemas.microsoft.com/office/drawing/2014/chart" uri="{C3380CC4-5D6E-409C-BE32-E72D297353CC}">
              <c16:uniqueId val="{00000007-C709-4D3F-8082-5AEE5FB4D616}"/>
            </c:ext>
          </c:extLst>
        </c:ser>
        <c:dLbls>
          <c:showLegendKey val="0"/>
          <c:showVal val="0"/>
          <c:showCatName val="0"/>
          <c:showSerName val="0"/>
          <c:showPercent val="0"/>
          <c:showBubbleSize val="0"/>
        </c:dLbls>
        <c:gapWidth val="150"/>
        <c:overlap val="100"/>
        <c:axId val="709654288"/>
        <c:axId val="808168320"/>
      </c:barChart>
      <c:lineChart>
        <c:grouping val="standard"/>
        <c:varyColors val="0"/>
        <c:ser>
          <c:idx val="5"/>
          <c:order val="0"/>
          <c:tx>
            <c:strRef>
              <c:f>'7. EDUC, CIEN, CULT Y DEP'!$C$257:$D$257</c:f>
              <c:strCache>
                <c:ptCount val="2"/>
                <c:pt idx="0">
                  <c:v>Hombres (N)</c:v>
                </c:pt>
              </c:strCache>
            </c:strRef>
          </c:tx>
          <c:spPr>
            <a:ln w="19050" cap="rnd">
              <a:solidFill>
                <a:schemeClr val="bg2">
                  <a:lumMod val="50000"/>
                </a:schemeClr>
              </a:solidFill>
              <a:round/>
            </a:ln>
            <a:effectLst/>
          </c:spPr>
          <c:marker>
            <c:symbol val="circle"/>
            <c:size val="5"/>
            <c:spPr>
              <a:solidFill>
                <a:schemeClr val="tx1">
                  <a:lumMod val="50000"/>
                  <a:lumOff val="50000"/>
                </a:schemeClr>
              </a:solidFill>
              <a:ln w="9525">
                <a:noFill/>
              </a:ln>
              <a:effectLst/>
            </c:spPr>
          </c:marker>
          <c:cat>
            <c:numRef>
              <c:f>'7. EDUC, CIEN, CULT Y DEP'!$T$255:$X$255</c:f>
              <c:numCache>
                <c:formatCode>General</c:formatCode>
                <c:ptCount val="5"/>
                <c:pt idx="0">
                  <c:v>2020</c:v>
                </c:pt>
                <c:pt idx="1">
                  <c:v>2021</c:v>
                </c:pt>
                <c:pt idx="2">
                  <c:v>2022</c:v>
                </c:pt>
                <c:pt idx="3">
                  <c:v>2023</c:v>
                </c:pt>
                <c:pt idx="4">
                  <c:v>2024</c:v>
                </c:pt>
              </c:numCache>
            </c:numRef>
          </c:cat>
          <c:val>
            <c:numRef>
              <c:f>'7. EDUC, CIEN, CULT Y DEP'!$T$257:$X$257</c:f>
              <c:numCache>
                <c:formatCode>#,##0</c:formatCode>
                <c:ptCount val="5"/>
                <c:pt idx="0">
                  <c:v>29608</c:v>
                </c:pt>
                <c:pt idx="1">
                  <c:v>40349</c:v>
                </c:pt>
                <c:pt idx="2">
                  <c:v>55460</c:v>
                </c:pt>
                <c:pt idx="3">
                  <c:v>66160</c:v>
                </c:pt>
                <c:pt idx="4">
                  <c:v>70573</c:v>
                </c:pt>
              </c:numCache>
            </c:numRef>
          </c:val>
          <c:smooth val="0"/>
          <c:extLst>
            <c:ext xmlns:c16="http://schemas.microsoft.com/office/drawing/2014/chart" uri="{C3380CC4-5D6E-409C-BE32-E72D297353CC}">
              <c16:uniqueId val="{00000005-C709-4D3F-8082-5AEE5FB4D616}"/>
            </c:ext>
          </c:extLst>
        </c:ser>
        <c:ser>
          <c:idx val="6"/>
          <c:order val="1"/>
          <c:tx>
            <c:strRef>
              <c:f>'7. EDUC, CIEN, CULT Y DEP'!$C$258:$D$258</c:f>
              <c:strCache>
                <c:ptCount val="2"/>
                <c:pt idx="0">
                  <c:v>Mujeres (N)</c:v>
                </c:pt>
              </c:strCache>
            </c:strRef>
          </c:tx>
          <c:spPr>
            <a:ln w="19050" cap="rnd">
              <a:solidFill>
                <a:srgbClr val="C00000"/>
              </a:solidFill>
              <a:round/>
            </a:ln>
            <a:effectLst/>
          </c:spPr>
          <c:marker>
            <c:symbol val="circle"/>
            <c:size val="5"/>
            <c:spPr>
              <a:solidFill>
                <a:srgbClr val="C00000"/>
              </a:solidFill>
              <a:ln w="9525">
                <a:noFill/>
              </a:ln>
              <a:effectLst/>
            </c:spPr>
          </c:marker>
          <c:cat>
            <c:numRef>
              <c:f>'7. EDUC, CIEN, CULT Y DEP'!$T$255:$X$255</c:f>
              <c:numCache>
                <c:formatCode>General</c:formatCode>
                <c:ptCount val="5"/>
                <c:pt idx="0">
                  <c:v>2020</c:v>
                </c:pt>
                <c:pt idx="1">
                  <c:v>2021</c:v>
                </c:pt>
                <c:pt idx="2">
                  <c:v>2022</c:v>
                </c:pt>
                <c:pt idx="3">
                  <c:v>2023</c:v>
                </c:pt>
                <c:pt idx="4">
                  <c:v>2024</c:v>
                </c:pt>
              </c:numCache>
            </c:numRef>
          </c:cat>
          <c:val>
            <c:numRef>
              <c:f>'7. EDUC, CIEN, CULT Y DEP'!$T$258:$X$258</c:f>
              <c:numCache>
                <c:formatCode>#,##0</c:formatCode>
                <c:ptCount val="5"/>
                <c:pt idx="0">
                  <c:v>27636</c:v>
                </c:pt>
                <c:pt idx="1">
                  <c:v>36879</c:v>
                </c:pt>
                <c:pt idx="2">
                  <c:v>51279</c:v>
                </c:pt>
                <c:pt idx="3">
                  <c:v>63715</c:v>
                </c:pt>
                <c:pt idx="4">
                  <c:v>69943</c:v>
                </c:pt>
              </c:numCache>
            </c:numRef>
          </c:val>
          <c:smooth val="0"/>
          <c:extLst>
            <c:ext xmlns:c16="http://schemas.microsoft.com/office/drawing/2014/chart" uri="{C3380CC4-5D6E-409C-BE32-E72D297353CC}">
              <c16:uniqueId val="{00000006-C709-4D3F-8082-5AEE5FB4D616}"/>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7.3 </a:t>
            </a:r>
            <a:r>
              <a:rPr lang="it-IT" sz="1200" b="1" i="0" u="none" strike="noStrike" kern="1200" spc="0" baseline="0">
                <a:solidFill>
                  <a:sysClr val="windowText" lastClr="000000">
                    <a:lumMod val="65000"/>
                    <a:lumOff val="35000"/>
                  </a:sysClr>
                </a:solidFill>
              </a:rPr>
              <a:t>Porcentaje de familias profesionales de formación profesional de grado superior masculinizadas, feminizadas y en equilibrio</a:t>
            </a:r>
            <a:endParaRPr lang="it-IT" sz="1200" b="1"/>
          </a:p>
        </c:rich>
      </c:tx>
      <c:layout>
        <c:manualLayout>
          <c:xMode val="edge"/>
          <c:yMode val="edge"/>
          <c:x val="0.11787449331759017"/>
          <c:y val="2.585582965826533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9994618084694926"/>
          <c:y val="0.23006369426751591"/>
          <c:w val="0.77688421767019622"/>
          <c:h val="0.40986609157931692"/>
        </c:manualLayout>
      </c:layout>
      <c:barChart>
        <c:barDir val="col"/>
        <c:grouping val="clustered"/>
        <c:varyColors val="0"/>
        <c:ser>
          <c:idx val="0"/>
          <c:order val="0"/>
          <c:tx>
            <c:strRef>
              <c:f>'7. EDUC, CIEN, CULT Y DEP'!$D$194</c:f>
              <c:strCache>
                <c:ptCount val="1"/>
                <c:pt idx="0">
                  <c:v>Masculinizadas</c:v>
                </c:pt>
              </c:strCache>
            </c:strRef>
          </c:tx>
          <c:spPr>
            <a:solidFill>
              <a:srgbClr val="FF8989"/>
            </a:solidFill>
            <a:ln>
              <a:solidFill>
                <a:srgbClr val="FF8989"/>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DEP'!$T$105:$W$105</c:f>
              <c:strCache>
                <c:ptCount val="4"/>
                <c:pt idx="0">
                  <c:v>2020-2021</c:v>
                </c:pt>
                <c:pt idx="1">
                  <c:v>2021-2022</c:v>
                </c:pt>
                <c:pt idx="2">
                  <c:v>2022-2023</c:v>
                </c:pt>
                <c:pt idx="3">
                  <c:v>2023-2024</c:v>
                </c:pt>
              </c:strCache>
            </c:strRef>
          </c:cat>
          <c:val>
            <c:numRef>
              <c:f>'7. EDUC, CIEN, CULT Y DEP'!$T$194:$W$194</c:f>
              <c:numCache>
                <c:formatCode>0.0</c:formatCode>
                <c:ptCount val="4"/>
                <c:pt idx="0">
                  <c:v>47.368421052631575</c:v>
                </c:pt>
                <c:pt idx="1">
                  <c:v>47.619047619047613</c:v>
                </c:pt>
                <c:pt idx="2">
                  <c:v>50</c:v>
                </c:pt>
                <c:pt idx="3">
                  <c:v>45.454545454545496</c:v>
                </c:pt>
              </c:numCache>
            </c:numRef>
          </c:val>
          <c:extLst>
            <c:ext xmlns:c16="http://schemas.microsoft.com/office/drawing/2014/chart" uri="{C3380CC4-5D6E-409C-BE32-E72D297353CC}">
              <c16:uniqueId val="{00000000-24DF-471A-A951-97D92BCED208}"/>
            </c:ext>
          </c:extLst>
        </c:ser>
        <c:ser>
          <c:idx val="1"/>
          <c:order val="1"/>
          <c:tx>
            <c:strRef>
              <c:f>'7. EDUC, CIEN, CULT Y DEP'!$D$195</c:f>
              <c:strCache>
                <c:ptCount val="1"/>
                <c:pt idx="0">
                  <c:v>Feminizadas</c:v>
                </c:pt>
              </c:strCache>
            </c:strRef>
          </c:tx>
          <c:spPr>
            <a:solidFill>
              <a:srgbClr val="FF5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DEP'!$T$105:$W$105</c:f>
              <c:strCache>
                <c:ptCount val="4"/>
                <c:pt idx="0">
                  <c:v>2020-2021</c:v>
                </c:pt>
                <c:pt idx="1">
                  <c:v>2021-2022</c:v>
                </c:pt>
                <c:pt idx="2">
                  <c:v>2022-2023</c:v>
                </c:pt>
                <c:pt idx="3">
                  <c:v>2023-2024</c:v>
                </c:pt>
              </c:strCache>
            </c:strRef>
          </c:cat>
          <c:val>
            <c:numRef>
              <c:f>'7. EDUC, CIEN, CULT Y DEP'!$T$195:$W$195</c:f>
              <c:numCache>
                <c:formatCode>0.0</c:formatCode>
                <c:ptCount val="4"/>
                <c:pt idx="0">
                  <c:v>21.052631578947366</c:v>
                </c:pt>
                <c:pt idx="1">
                  <c:v>19.047619047619047</c:v>
                </c:pt>
                <c:pt idx="2">
                  <c:v>15</c:v>
                </c:pt>
                <c:pt idx="3">
                  <c:v>18.181818181818198</c:v>
                </c:pt>
              </c:numCache>
            </c:numRef>
          </c:val>
          <c:extLst>
            <c:ext xmlns:c16="http://schemas.microsoft.com/office/drawing/2014/chart" uri="{C3380CC4-5D6E-409C-BE32-E72D297353CC}">
              <c16:uniqueId val="{0000010E-858E-454F-99F3-7572AD570EBC}"/>
            </c:ext>
          </c:extLst>
        </c:ser>
        <c:ser>
          <c:idx val="2"/>
          <c:order val="2"/>
          <c:tx>
            <c:strRef>
              <c:f>'7. EDUC, CIEN, CULT Y DEP'!$D$196</c:f>
              <c:strCache>
                <c:ptCount val="1"/>
                <c:pt idx="0">
                  <c:v>En equilibrio</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DEP'!$T$105:$W$105</c:f>
              <c:strCache>
                <c:ptCount val="4"/>
                <c:pt idx="0">
                  <c:v>2020-2021</c:v>
                </c:pt>
                <c:pt idx="1">
                  <c:v>2021-2022</c:v>
                </c:pt>
                <c:pt idx="2">
                  <c:v>2022-2023</c:v>
                </c:pt>
                <c:pt idx="3">
                  <c:v>2023-2024</c:v>
                </c:pt>
              </c:strCache>
            </c:strRef>
          </c:cat>
          <c:val>
            <c:numRef>
              <c:f>'7. EDUC, CIEN, CULT Y DEP'!$T$196:$W$196</c:f>
              <c:numCache>
                <c:formatCode>0.0</c:formatCode>
                <c:ptCount val="4"/>
                <c:pt idx="0">
                  <c:v>31.578947368421051</c:v>
                </c:pt>
                <c:pt idx="1">
                  <c:v>33.333333333333329</c:v>
                </c:pt>
                <c:pt idx="2">
                  <c:v>35</c:v>
                </c:pt>
                <c:pt idx="3">
                  <c:v>36.363636363636395</c:v>
                </c:pt>
              </c:numCache>
            </c:numRef>
          </c:val>
          <c:extLst>
            <c:ext xmlns:c16="http://schemas.microsoft.com/office/drawing/2014/chart" uri="{C3380CC4-5D6E-409C-BE32-E72D297353CC}">
              <c16:uniqueId val="{0000010F-858E-454F-99F3-7572AD570EBC}"/>
            </c:ext>
          </c:extLst>
        </c:ser>
        <c:dLbls>
          <c:showLegendKey val="0"/>
          <c:showVal val="0"/>
          <c:showCatName val="0"/>
          <c:showSerName val="0"/>
          <c:showPercent val="0"/>
          <c:showBubbleSize val="0"/>
        </c:dLbls>
        <c:gapWidth val="219"/>
        <c:axId val="1113518191"/>
        <c:axId val="577015440"/>
      </c:barChart>
      <c:catAx>
        <c:axId val="111351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7015440"/>
        <c:crosses val="autoZero"/>
        <c:auto val="1"/>
        <c:lblAlgn val="ctr"/>
        <c:lblOffset val="100"/>
        <c:noMultiLvlLbl val="0"/>
      </c:catAx>
      <c:valAx>
        <c:axId val="577015440"/>
        <c:scaling>
          <c:orientation val="minMax"/>
          <c:max val="8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135181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ES" sz="1200" b="1">
                <a:effectLst/>
              </a:rPr>
              <a:t>7.7 Empleo cultural </a:t>
            </a:r>
          </a:p>
        </c:rich>
      </c:tx>
      <c:layout>
        <c:manualLayout>
          <c:xMode val="edge"/>
          <c:yMode val="edge"/>
          <c:x val="0.37603004234018172"/>
          <c:y val="2.390749072558093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'7. EDUC, CIEN, CULT Y DEP'!$C$239:$D$239</c:f>
              <c:strCache>
                <c:ptCount val="2"/>
                <c:pt idx="0">
                  <c:v>Brecha (N)</c:v>
                </c:pt>
              </c:strCache>
            </c:strRef>
          </c:tx>
          <c:spPr>
            <a:solidFill>
              <a:srgbClr val="FF8989"/>
            </a:solidFill>
            <a:ln>
              <a:noFill/>
            </a:ln>
            <a:effectLst/>
          </c:spPr>
          <c:invertIfNegative val="0"/>
          <c:dPt>
            <c:idx val="3"/>
            <c:invertIfNegative val="0"/>
            <c:bubble3D val="0"/>
            <c:spPr>
              <a:solidFill>
                <a:srgbClr val="FF8989"/>
              </a:solidFill>
              <a:ln>
                <a:noFill/>
              </a:ln>
              <a:effectLst/>
            </c:spPr>
            <c:extLst>
              <c:ext xmlns:c16="http://schemas.microsoft.com/office/drawing/2014/chart" uri="{C3380CC4-5D6E-409C-BE32-E72D297353CC}">
                <c16:uniqueId val="{00000004-802A-4B4F-9231-94DC4C72AAA1}"/>
              </c:ext>
            </c:extLst>
          </c:dPt>
          <c:cat>
            <c:numRef>
              <c:f>'7. EDUC, CIEN, CULT Y DEP'!$T$235:$X$235</c:f>
              <c:numCache>
                <c:formatCode>General</c:formatCode>
                <c:ptCount val="5"/>
                <c:pt idx="0">
                  <c:v>2020</c:v>
                </c:pt>
                <c:pt idx="1">
                  <c:v>2021</c:v>
                </c:pt>
                <c:pt idx="2">
                  <c:v>2022</c:v>
                </c:pt>
                <c:pt idx="3">
                  <c:v>2023</c:v>
                </c:pt>
                <c:pt idx="4">
                  <c:v>2024</c:v>
                </c:pt>
              </c:numCache>
            </c:numRef>
          </c:cat>
          <c:val>
            <c:numRef>
              <c:f>'7. EDUC, CIEN, CULT Y DEP'!$T$239:$X$239</c:f>
              <c:numCache>
                <c:formatCode>0</c:formatCode>
                <c:ptCount val="5"/>
                <c:pt idx="0">
                  <c:v>-5088</c:v>
                </c:pt>
                <c:pt idx="1">
                  <c:v>-5043</c:v>
                </c:pt>
                <c:pt idx="2">
                  <c:v>-5351</c:v>
                </c:pt>
                <c:pt idx="3">
                  <c:v>-5436</c:v>
                </c:pt>
                <c:pt idx="4">
                  <c:v>-5346</c:v>
                </c:pt>
              </c:numCache>
            </c:numRef>
          </c:val>
          <c:extLst>
            <c:ext xmlns:c16="http://schemas.microsoft.com/office/drawing/2014/chart" uri="{C3380CC4-5D6E-409C-BE32-E72D297353CC}">
              <c16:uniqueId val="{00000004-4FA6-4535-906B-B88D6E952AF4}"/>
            </c:ext>
          </c:extLst>
        </c:ser>
        <c:dLbls>
          <c:showLegendKey val="0"/>
          <c:showVal val="0"/>
          <c:showCatName val="0"/>
          <c:showSerName val="0"/>
          <c:showPercent val="0"/>
          <c:showBubbleSize val="0"/>
        </c:dLbls>
        <c:gapWidth val="219"/>
        <c:axId val="709654288"/>
        <c:axId val="808168320"/>
      </c:barChart>
      <c:lineChart>
        <c:grouping val="standard"/>
        <c:varyColors val="0"/>
        <c:ser>
          <c:idx val="0"/>
          <c:order val="0"/>
          <c:tx>
            <c:v>Hombres (%)</c:v>
          </c:tx>
          <c:spPr>
            <a:ln w="19050" cap="rnd">
              <a:solidFill>
                <a:schemeClr val="tx1">
                  <a:lumMod val="50000"/>
                  <a:lumOff val="50000"/>
                  <a:alpha val="96000"/>
                </a:schemeClr>
              </a:solidFill>
              <a:round/>
            </a:ln>
            <a:effectLst/>
          </c:spPr>
          <c:marker>
            <c:symbol val="circle"/>
            <c:size val="5"/>
            <c:spPr>
              <a:solidFill>
                <a:schemeClr val="tx1">
                  <a:lumMod val="50000"/>
                  <a:lumOff val="50000"/>
                </a:schemeClr>
              </a:solidFill>
              <a:ln w="9525">
                <a:noFill/>
              </a:ln>
              <a:effectLst/>
            </c:spPr>
          </c:marker>
          <c:dPt>
            <c:idx val="4"/>
            <c:marker>
              <c:symbol val="circle"/>
              <c:size val="5"/>
              <c:spPr>
                <a:solidFill>
                  <a:schemeClr val="tx1">
                    <a:lumMod val="50000"/>
                    <a:lumOff val="50000"/>
                  </a:schemeClr>
                </a:solidFill>
                <a:ln w="9525">
                  <a:noFill/>
                </a:ln>
                <a:effectLst/>
              </c:spPr>
            </c:marker>
            <c:bubble3D val="0"/>
            <c:extLst>
              <c:ext xmlns:c16="http://schemas.microsoft.com/office/drawing/2014/chart" uri="{C3380CC4-5D6E-409C-BE32-E72D297353CC}">
                <c16:uniqueId val="{00000002-4FF5-4832-B60B-129BDB41CB9C}"/>
              </c:ext>
            </c:extLst>
          </c:dPt>
          <c:cat>
            <c:numRef>
              <c:f>'7. EDUC, CIEN, CULT Y DEP'!$T$235:$X$235</c:f>
              <c:numCache>
                <c:formatCode>General</c:formatCode>
                <c:ptCount val="5"/>
                <c:pt idx="0">
                  <c:v>2020</c:v>
                </c:pt>
                <c:pt idx="1">
                  <c:v>2021</c:v>
                </c:pt>
                <c:pt idx="2">
                  <c:v>2022</c:v>
                </c:pt>
                <c:pt idx="3">
                  <c:v>2023</c:v>
                </c:pt>
                <c:pt idx="4">
                  <c:v>2024</c:v>
                </c:pt>
              </c:numCache>
            </c:numRef>
          </c:cat>
          <c:val>
            <c:numRef>
              <c:f>'7. EDUC, CIEN, CULT Y DEP'!$T$237:$X$237</c:f>
              <c:numCache>
                <c:formatCode>_-* #,##0_-;\-* #,##0_-;_-* "-"??_-;_-@_-</c:formatCode>
                <c:ptCount val="5"/>
                <c:pt idx="0">
                  <c:v>21977</c:v>
                </c:pt>
                <c:pt idx="1">
                  <c:v>19386</c:v>
                </c:pt>
                <c:pt idx="2">
                  <c:v>21529</c:v>
                </c:pt>
                <c:pt idx="3">
                  <c:v>23011</c:v>
                </c:pt>
                <c:pt idx="4">
                  <c:v>23699</c:v>
                </c:pt>
              </c:numCache>
            </c:numRef>
          </c:val>
          <c:smooth val="0"/>
          <c:extLst>
            <c:ext xmlns:c16="http://schemas.microsoft.com/office/drawing/2014/chart" uri="{C3380CC4-5D6E-409C-BE32-E72D297353CC}">
              <c16:uniqueId val="{00000001-4FA6-4535-906B-B88D6E952AF4}"/>
            </c:ext>
          </c:extLst>
        </c:ser>
        <c:ser>
          <c:idx val="1"/>
          <c:order val="1"/>
          <c:tx>
            <c:v>Mujeres (%)</c:v>
          </c:tx>
          <c:spPr>
            <a:ln w="19050" cap="rnd">
              <a:solidFill>
                <a:srgbClr val="C00000"/>
              </a:solidFill>
              <a:round/>
            </a:ln>
            <a:effectLst/>
          </c:spPr>
          <c:marker>
            <c:symbol val="circle"/>
            <c:size val="5"/>
            <c:spPr>
              <a:solidFill>
                <a:srgbClr val="C00000"/>
              </a:solidFill>
              <a:ln w="9525">
                <a:noFill/>
              </a:ln>
              <a:effectLst/>
            </c:spPr>
          </c:marker>
          <c:cat>
            <c:numRef>
              <c:f>'7. EDUC, CIEN, CULT Y DEP'!$T$235:$X$235</c:f>
              <c:numCache>
                <c:formatCode>General</c:formatCode>
                <c:ptCount val="5"/>
                <c:pt idx="0">
                  <c:v>2020</c:v>
                </c:pt>
                <c:pt idx="1">
                  <c:v>2021</c:v>
                </c:pt>
                <c:pt idx="2">
                  <c:v>2022</c:v>
                </c:pt>
                <c:pt idx="3">
                  <c:v>2023</c:v>
                </c:pt>
                <c:pt idx="4">
                  <c:v>2024</c:v>
                </c:pt>
              </c:numCache>
            </c:numRef>
          </c:cat>
          <c:val>
            <c:numRef>
              <c:f>'7. EDUC, CIEN, CULT Y DEP'!$T$238:$X$238</c:f>
              <c:numCache>
                <c:formatCode>_-* #,##0_-;\-* #,##0_-;_-* "-"??_-;_-@_-</c:formatCode>
                <c:ptCount val="5"/>
                <c:pt idx="0">
                  <c:v>16889</c:v>
                </c:pt>
                <c:pt idx="1">
                  <c:v>14343</c:v>
                </c:pt>
                <c:pt idx="2">
                  <c:v>16178</c:v>
                </c:pt>
                <c:pt idx="3">
                  <c:v>17575</c:v>
                </c:pt>
                <c:pt idx="4">
                  <c:v>18353</c:v>
                </c:pt>
              </c:numCache>
            </c:numRef>
          </c:val>
          <c:smooth val="0"/>
          <c:extLst>
            <c:ext xmlns:c16="http://schemas.microsoft.com/office/drawing/2014/chart" uri="{C3380CC4-5D6E-409C-BE32-E72D297353CC}">
              <c16:uniqueId val="{00000002-4FA6-4535-906B-B88D6E952AF4}"/>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solidFill>
            <a:srgbClr val="FF8989"/>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7.5 Personas empleadas en I+D: todos los sectores de ejecución</a:t>
            </a:r>
            <a:endParaRPr lang="it-IT" sz="1200" b="1"/>
          </a:p>
        </c:rich>
      </c:tx>
      <c:layout>
        <c:manualLayout>
          <c:xMode val="edge"/>
          <c:yMode val="edge"/>
          <c:x val="0.14697222222222223"/>
          <c:y val="2.789206827936243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'7. EDUC, CIEN, CULT Y DEP'!$C$224:$C$228</c:f>
              <c:strCache>
                <c:ptCount val="1"/>
                <c:pt idx="0">
                  <c:v>% Mujeres</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'7. EDUC, CIEN, CULT Y DEP'!$E$208:$W$208</c15:sqref>
                  </c15:fullRef>
                </c:ext>
              </c:extLst>
              <c:f>'7. EDUC, CIEN, CULT Y DEP'!$T$208:$W$208</c:f>
              <c:numCache>
                <c:formatCode>General</c:formatCode>
                <c:ptCount val="4"/>
                <c:pt idx="0">
                  <c:v>2020</c:v>
                </c:pt>
                <c:pt idx="1">
                  <c:v>2021</c:v>
                </c:pt>
                <c:pt idx="2">
                  <c:v>2022</c:v>
                </c:pt>
                <c:pt idx="3">
                  <c:v>2023</c:v>
                </c:pt>
              </c:numCache>
            </c:numRef>
          </c:cat>
          <c:val>
            <c:numRef>
              <c:extLst>
                <c:ext xmlns:c15="http://schemas.microsoft.com/office/drawing/2012/chart" uri="{02D57815-91ED-43cb-92C2-25804820EDAC}">
                  <c15:fullRef>
                    <c15:sqref>'7. EDUC, CIEN, CULT Y DEP'!$E$224:$V$224</c15:sqref>
                  </c15:fullRef>
                </c:ext>
              </c:extLst>
              <c:f>'7. EDUC, CIEN, CULT Y DEP'!$T$224:$V$224</c:f>
              <c:numCache>
                <c:formatCode>_-* #,##0_-;\-* #,##0_-;_-* "-"??_-;_-@_-</c:formatCode>
                <c:ptCount val="3"/>
                <c:pt idx="0" formatCode="#,##0.0">
                  <c:v>41.474408532937801</c:v>
                </c:pt>
                <c:pt idx="1" formatCode="#,##0.0">
                  <c:v>40.689533302681582</c:v>
                </c:pt>
                <c:pt idx="2" formatCode="#,##0.0">
                  <c:v>40.443151853575309</c:v>
                </c:pt>
              </c:numCache>
            </c:numRef>
          </c:val>
          <c:extLst>
            <c:ext xmlns:c16="http://schemas.microsoft.com/office/drawing/2014/chart" uri="{C3380CC4-5D6E-409C-BE32-E72D297353CC}">
              <c16:uniqueId val="{00000000-DF46-4E26-9605-5296310A35B2}"/>
            </c:ext>
          </c:extLst>
        </c:ser>
        <c:dLbls>
          <c:showLegendKey val="0"/>
          <c:showVal val="0"/>
          <c:showCatName val="0"/>
          <c:showSerName val="0"/>
          <c:showPercent val="0"/>
          <c:showBubbleSize val="0"/>
        </c:dLbls>
        <c:gapWidth val="219"/>
        <c:axId val="860173664"/>
        <c:axId val="860169704"/>
      </c:barChart>
      <c:lineChart>
        <c:grouping val="standard"/>
        <c:varyColors val="0"/>
        <c:ser>
          <c:idx val="0"/>
          <c:order val="0"/>
          <c:tx>
            <c:strRef>
              <c:f>'7. EDUC, CIEN, CULT Y DEP'!$C$214:$C$218</c:f>
              <c:strCache>
                <c:ptCount val="1"/>
                <c:pt idx="0">
                  <c:v>Hombres</c:v>
                </c:pt>
              </c:strCache>
            </c:strRef>
          </c:tx>
          <c:spPr>
            <a:ln w="15875"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('7. EDUC, CIEN, CULT Y DEP'!$E$208:$V$208,'7. EDUC, CIEN, CULT Y DEP'!$E$208:$O$208,'7. EDUC, CIEN, CULT Y DEP'!$T$208:$V$208)</c15:sqref>
                  </c15:fullRef>
                </c:ext>
              </c:extLst>
              <c:f>('7. EDUC, CIEN, CULT Y DEP'!$T$208:$V$208,'7. EDUC, CIEN, CULT Y DEP'!$E$208:$O$208,'7. EDUC, CIEN, CULT Y DEP'!$T$208:$V$208)</c:f>
              <c:numCache>
                <c:formatCode>General</c:formatCode>
                <c:ptCount val="17"/>
                <c:pt idx="0">
                  <c:v>2020</c:v>
                </c:pt>
                <c:pt idx="1">
                  <c:v>2021</c:v>
                </c:pt>
                <c:pt idx="2">
                  <c:v>2022</c:v>
                </c:pt>
                <c:pt idx="3">
                  <c:v>2005</c:v>
                </c:pt>
                <c:pt idx="4">
                  <c:v>2006</c:v>
                </c:pt>
                <c:pt idx="5">
                  <c:v>2007</c:v>
                </c:pt>
                <c:pt idx="6">
                  <c:v>2008</c:v>
                </c:pt>
                <c:pt idx="7">
                  <c:v>2009</c:v>
                </c:pt>
                <c:pt idx="8">
                  <c:v>2010</c:v>
                </c:pt>
                <c:pt idx="9">
                  <c:v>2011</c:v>
                </c:pt>
                <c:pt idx="10">
                  <c:v>2012</c:v>
                </c:pt>
                <c:pt idx="11">
                  <c:v>2013</c:v>
                </c:pt>
                <c:pt idx="12">
                  <c:v>2014</c:v>
                </c:pt>
                <c:pt idx="13">
                  <c:v>2015</c:v>
                </c:pt>
                <c:pt idx="14">
                  <c:v>2020</c:v>
                </c:pt>
                <c:pt idx="15">
                  <c:v>2021</c:v>
                </c:pt>
                <c:pt idx="16">
                  <c:v>2022</c:v>
                </c:pt>
              </c:numCache>
            </c:numRef>
          </c:cat>
          <c:val>
            <c:numRef>
              <c:extLst>
                <c:ext xmlns:c15="http://schemas.microsoft.com/office/drawing/2012/chart" uri="{02D57815-91ED-43cb-92C2-25804820EDAC}">
                  <c15:fullRef>
                    <c15:sqref>'7. EDUC, CIEN, CULT Y DEP'!$E$214:$V$214</c15:sqref>
                  </c15:fullRef>
                </c:ext>
              </c:extLst>
              <c:f>'7. EDUC, CIEN, CULT Y DEP'!$T$214:$V$214</c:f>
              <c:numCache>
                <c:formatCode>_-* #,##0_-;\-* #,##0_-;_-* "-"??_-;_-@_-</c:formatCode>
                <c:ptCount val="3"/>
                <c:pt idx="0">
                  <c:v>33459.9</c:v>
                </c:pt>
                <c:pt idx="1">
                  <c:v>36248.6</c:v>
                </c:pt>
                <c:pt idx="2">
                  <c:v>38396.300000000003</c:v>
                </c:pt>
              </c:numCache>
            </c:numRef>
          </c:val>
          <c:smooth val="0"/>
          <c:extLst>
            <c:ext xmlns:c16="http://schemas.microsoft.com/office/drawing/2014/chart" uri="{C3380CC4-5D6E-409C-BE32-E72D297353CC}">
              <c16:uniqueId val="{00000003-DF46-4E26-9605-5296310A35B2}"/>
            </c:ext>
          </c:extLst>
        </c:ser>
        <c:ser>
          <c:idx val="1"/>
          <c:order val="1"/>
          <c:tx>
            <c:strRef>
              <c:f>'7. EDUC, CIEN, CULT Y DEP'!$C$219:$C$223</c:f>
              <c:strCache>
                <c:ptCount val="1"/>
                <c:pt idx="0">
                  <c:v>Mujeres</c:v>
                </c:pt>
              </c:strCache>
            </c:strRef>
          </c:tx>
          <c:spPr>
            <a:ln w="15875"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('7. EDUC, CIEN, CULT Y DEP'!$E$208:$V$208,'7. EDUC, CIEN, CULT Y DEP'!$E$208:$O$208,'7. EDUC, CIEN, CULT Y DEP'!$T$208:$V$208)</c15:sqref>
                  </c15:fullRef>
                </c:ext>
              </c:extLst>
              <c:f>('7. EDUC, CIEN, CULT Y DEP'!$T$208:$V$208,'7. EDUC, CIEN, CULT Y DEP'!$E$208:$O$208,'7. EDUC, CIEN, CULT Y DEP'!$T$208:$V$208)</c:f>
              <c:numCache>
                <c:formatCode>General</c:formatCode>
                <c:ptCount val="17"/>
                <c:pt idx="0">
                  <c:v>2020</c:v>
                </c:pt>
                <c:pt idx="1">
                  <c:v>2021</c:v>
                </c:pt>
                <c:pt idx="2">
                  <c:v>2022</c:v>
                </c:pt>
                <c:pt idx="3">
                  <c:v>2005</c:v>
                </c:pt>
                <c:pt idx="4">
                  <c:v>2006</c:v>
                </c:pt>
                <c:pt idx="5">
                  <c:v>2007</c:v>
                </c:pt>
                <c:pt idx="6">
                  <c:v>2008</c:v>
                </c:pt>
                <c:pt idx="7">
                  <c:v>2009</c:v>
                </c:pt>
                <c:pt idx="8">
                  <c:v>2010</c:v>
                </c:pt>
                <c:pt idx="9">
                  <c:v>2011</c:v>
                </c:pt>
                <c:pt idx="10">
                  <c:v>2012</c:v>
                </c:pt>
                <c:pt idx="11">
                  <c:v>2013</c:v>
                </c:pt>
                <c:pt idx="12">
                  <c:v>2014</c:v>
                </c:pt>
                <c:pt idx="13">
                  <c:v>2015</c:v>
                </c:pt>
                <c:pt idx="14">
                  <c:v>2020</c:v>
                </c:pt>
                <c:pt idx="15">
                  <c:v>2021</c:v>
                </c:pt>
                <c:pt idx="16">
                  <c:v>2022</c:v>
                </c:pt>
              </c:numCache>
            </c:numRef>
          </c:cat>
          <c:val>
            <c:numRef>
              <c:extLst>
                <c:ext xmlns:c15="http://schemas.microsoft.com/office/drawing/2012/chart" uri="{02D57815-91ED-43cb-92C2-25804820EDAC}">
                  <c15:fullRef>
                    <c15:sqref>'7. EDUC, CIEN, CULT Y DEP'!$E$219:$V$219</c15:sqref>
                  </c15:fullRef>
                </c:ext>
              </c:extLst>
              <c:f>'7. EDUC, CIEN, CULT Y DEP'!$T$219:$V$219</c:f>
              <c:numCache>
                <c:formatCode>_-* #,##0_-;\-* #,##0_-;_-* "-"??_-;_-@_-</c:formatCode>
                <c:ptCount val="3"/>
                <c:pt idx="0">
                  <c:v>23711.5</c:v>
                </c:pt>
                <c:pt idx="1">
                  <c:v>24868.1</c:v>
                </c:pt>
                <c:pt idx="2">
                  <c:v>26073.7</c:v>
                </c:pt>
              </c:numCache>
            </c:numRef>
          </c:val>
          <c:smooth val="0"/>
          <c:extLst>
            <c:ext xmlns:c16="http://schemas.microsoft.com/office/drawing/2014/chart" uri="{C3380CC4-5D6E-409C-BE32-E72D297353CC}">
              <c16:uniqueId val="{00000004-DF46-4E26-9605-5296310A35B2}"/>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 Personas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valAx>
        <c:axId val="860169704"/>
        <c:scaling>
          <c:orientation val="minMax"/>
          <c:max val="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 mujeres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0173664"/>
        <c:crosses val="max"/>
        <c:crossBetween val="between"/>
      </c:valAx>
      <c:catAx>
        <c:axId val="860173664"/>
        <c:scaling>
          <c:orientation val="minMax"/>
        </c:scaling>
        <c:delete val="1"/>
        <c:axPos val="b"/>
        <c:numFmt formatCode="General" sourceLinked="1"/>
        <c:majorTickMark val="out"/>
        <c:minorTickMark val="none"/>
        <c:tickLblPos val="nextTo"/>
        <c:crossAx val="8601697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7.9 </a:t>
            </a:r>
            <a:r>
              <a:rPr lang="it-IT" sz="1200" b="1" i="0" u="none" strike="noStrike" kern="1200" spc="0" baseline="0">
                <a:solidFill>
                  <a:sysClr val="windowText" lastClr="000000">
                    <a:lumMod val="65000"/>
                    <a:lumOff val="35000"/>
                  </a:sysClr>
                </a:solidFill>
              </a:rPr>
              <a:t>Porcentaje de federaciones masculinizadas, feminizadas y en equilibrio</a:t>
            </a:r>
            <a:endParaRPr lang="it-IT"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9994618084694926"/>
          <c:y val="0.23006369426751591"/>
          <c:w val="0.77688421767019622"/>
          <c:h val="0.40986609157931692"/>
        </c:manualLayout>
      </c:layout>
      <c:barChart>
        <c:barDir val="col"/>
        <c:grouping val="clustered"/>
        <c:varyColors val="0"/>
        <c:ser>
          <c:idx val="0"/>
          <c:order val="0"/>
          <c:tx>
            <c:strRef>
              <c:f>'7. EDUC, CIEN, CULT Y DEP'!$C$252:$D$252</c:f>
              <c:strCache>
                <c:ptCount val="2"/>
                <c:pt idx="0">
                  <c:v>Federaciones Masculinizadas (%)</c:v>
                </c:pt>
              </c:strCache>
            </c:strRef>
          </c:tx>
          <c:spPr>
            <a:solidFill>
              <a:srgbClr val="FF898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EDUC, CIEN, CULT Y DEP'!$J$246,'7. EDUC, CIEN, CULT Y DEP'!$O$246,'7. EDUC, CIEN, CULT Y DEP'!$T$246:$W$246)</c:f>
              <c:numCache>
                <c:formatCode>General</c:formatCode>
                <c:ptCount val="6"/>
                <c:pt idx="0">
                  <c:v>2010</c:v>
                </c:pt>
                <c:pt idx="1">
                  <c:v>2015</c:v>
                </c:pt>
                <c:pt idx="2">
                  <c:v>2020</c:v>
                </c:pt>
                <c:pt idx="3">
                  <c:v>2021</c:v>
                </c:pt>
                <c:pt idx="4">
                  <c:v>2022</c:v>
                </c:pt>
                <c:pt idx="5">
                  <c:v>2023</c:v>
                </c:pt>
              </c:numCache>
            </c:numRef>
          </c:cat>
          <c:val>
            <c:numRef>
              <c:f>('7. EDUC, CIEN, CULT Y DEP'!$J$252,'7. EDUC, CIEN, CULT Y DEP'!$O$252,'7. EDUC, CIEN, CULT Y DEP'!$T$252,'7. EDUC, CIEN, CULT Y DEP'!$U$252,'7. EDUC, CIEN, CULT Y DEP'!$V$252,'7. EDUC, CIEN, CULT Y DEP'!$W$252)</c:f>
              <c:numCache>
                <c:formatCode>#,##0.0</c:formatCode>
                <c:ptCount val="6"/>
                <c:pt idx="0">
                  <c:v>83.333333333333343</c:v>
                </c:pt>
                <c:pt idx="1">
                  <c:v>80.303030303030297</c:v>
                </c:pt>
                <c:pt idx="2">
                  <c:v>81.818181818181827</c:v>
                </c:pt>
                <c:pt idx="3">
                  <c:v>81.818181818181827</c:v>
                </c:pt>
                <c:pt idx="4">
                  <c:v>80.303030303030297</c:v>
                </c:pt>
                <c:pt idx="5">
                  <c:v>80</c:v>
                </c:pt>
              </c:numCache>
            </c:numRef>
          </c:val>
          <c:extLst>
            <c:ext xmlns:c16="http://schemas.microsoft.com/office/drawing/2014/chart" uri="{C3380CC4-5D6E-409C-BE32-E72D297353CC}">
              <c16:uniqueId val="{00000000-A588-4D9D-BFA6-691EC7C0BADB}"/>
            </c:ext>
          </c:extLst>
        </c:ser>
        <c:ser>
          <c:idx val="1"/>
          <c:order val="1"/>
          <c:tx>
            <c:strRef>
              <c:f>'7. EDUC, CIEN, CULT Y DEP'!$C$253:$D$253</c:f>
              <c:strCache>
                <c:ptCount val="2"/>
                <c:pt idx="0">
                  <c:v>Federaciones Feminizadas (%)</c:v>
                </c:pt>
              </c:strCache>
            </c:strRef>
          </c:tx>
          <c:spPr>
            <a:solidFill>
              <a:srgbClr val="FF5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EDUC, CIEN, CULT Y DEP'!$J$246,'7. EDUC, CIEN, CULT Y DEP'!$O$246,'7. EDUC, CIEN, CULT Y DEP'!$T$246:$W$246)</c:f>
              <c:numCache>
                <c:formatCode>General</c:formatCode>
                <c:ptCount val="6"/>
                <c:pt idx="0">
                  <c:v>2010</c:v>
                </c:pt>
                <c:pt idx="1">
                  <c:v>2015</c:v>
                </c:pt>
                <c:pt idx="2">
                  <c:v>2020</c:v>
                </c:pt>
                <c:pt idx="3">
                  <c:v>2021</c:v>
                </c:pt>
                <c:pt idx="4">
                  <c:v>2022</c:v>
                </c:pt>
                <c:pt idx="5">
                  <c:v>2023</c:v>
                </c:pt>
              </c:numCache>
            </c:numRef>
          </c:cat>
          <c:val>
            <c:numRef>
              <c:f>('7. EDUC, CIEN, CULT Y DEP'!$J$253,'7. EDUC, CIEN, CULT Y DEP'!$O$253,'7. EDUC, CIEN, CULT Y DEP'!$T$253,'7. EDUC, CIEN, CULT Y DEP'!$U$253,'7. EDUC, CIEN, CULT Y DEP'!$V$253,'7. EDUC, CIEN, CULT Y DEP'!$W$253)</c:f>
              <c:numCache>
                <c:formatCode>#,##0.0</c:formatCode>
                <c:ptCount val="6"/>
                <c:pt idx="0">
                  <c:v>3.0303030303030303</c:v>
                </c:pt>
                <c:pt idx="1">
                  <c:v>6.0606060606060606</c:v>
                </c:pt>
                <c:pt idx="2">
                  <c:v>7.5757575757575761</c:v>
                </c:pt>
                <c:pt idx="3">
                  <c:v>6.0606060606060606</c:v>
                </c:pt>
                <c:pt idx="4">
                  <c:v>6.0606060606060606</c:v>
                </c:pt>
                <c:pt idx="5">
                  <c:v>7.6923076923076925</c:v>
                </c:pt>
              </c:numCache>
            </c:numRef>
          </c:val>
          <c:extLst>
            <c:ext xmlns:c16="http://schemas.microsoft.com/office/drawing/2014/chart" uri="{C3380CC4-5D6E-409C-BE32-E72D297353CC}">
              <c16:uniqueId val="{00000001-A588-4D9D-BFA6-691EC7C0BADB}"/>
            </c:ext>
          </c:extLst>
        </c:ser>
        <c:ser>
          <c:idx val="2"/>
          <c:order val="2"/>
          <c:tx>
            <c:strRef>
              <c:f>'7. EDUC, CIEN, CULT Y DEP'!$C$254:$D$254</c:f>
              <c:strCache>
                <c:ptCount val="2"/>
                <c:pt idx="0">
                  <c:v>Federaciones en equilibrio (%)</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EDUC, CIEN, CULT Y DEP'!$J$246,'7. EDUC, CIEN, CULT Y DEP'!$O$246,'7. EDUC, CIEN, CULT Y DEP'!$T$246:$W$246)</c:f>
              <c:numCache>
                <c:formatCode>General</c:formatCode>
                <c:ptCount val="6"/>
                <c:pt idx="0">
                  <c:v>2010</c:v>
                </c:pt>
                <c:pt idx="1">
                  <c:v>2015</c:v>
                </c:pt>
                <c:pt idx="2">
                  <c:v>2020</c:v>
                </c:pt>
                <c:pt idx="3">
                  <c:v>2021</c:v>
                </c:pt>
                <c:pt idx="4">
                  <c:v>2022</c:v>
                </c:pt>
                <c:pt idx="5">
                  <c:v>2023</c:v>
                </c:pt>
              </c:numCache>
            </c:numRef>
          </c:cat>
          <c:val>
            <c:numRef>
              <c:f>('7. EDUC, CIEN, CULT Y DEP'!$J$254,'7. EDUC, CIEN, CULT Y DEP'!$O$254,'7. EDUC, CIEN, CULT Y DEP'!$T$254,'7. EDUC, CIEN, CULT Y DEP'!$U$254,'7. EDUC, CIEN, CULT Y DEP'!$V$254,'7. EDUC, CIEN, CULT Y DEP'!$W$254)</c:f>
              <c:numCache>
                <c:formatCode>#,##0.0</c:formatCode>
                <c:ptCount val="6"/>
                <c:pt idx="0">
                  <c:v>12.121212121212121</c:v>
                </c:pt>
                <c:pt idx="1">
                  <c:v>10.606060606060606</c:v>
                </c:pt>
                <c:pt idx="2">
                  <c:v>9.0909090909090917</c:v>
                </c:pt>
                <c:pt idx="3">
                  <c:v>10.606060606060606</c:v>
                </c:pt>
                <c:pt idx="4">
                  <c:v>12.121212121212121</c:v>
                </c:pt>
                <c:pt idx="5">
                  <c:v>12.307692307692308</c:v>
                </c:pt>
              </c:numCache>
            </c:numRef>
          </c:val>
          <c:extLst>
            <c:ext xmlns:c16="http://schemas.microsoft.com/office/drawing/2014/chart" uri="{C3380CC4-5D6E-409C-BE32-E72D297353CC}">
              <c16:uniqueId val="{00000002-A588-4D9D-BFA6-691EC7C0BADB}"/>
            </c:ext>
          </c:extLst>
        </c:ser>
        <c:dLbls>
          <c:showLegendKey val="0"/>
          <c:showVal val="0"/>
          <c:showCatName val="0"/>
          <c:showSerName val="0"/>
          <c:showPercent val="0"/>
          <c:showBubbleSize val="0"/>
        </c:dLbls>
        <c:gapWidth val="219"/>
        <c:overlap val="-27"/>
        <c:axId val="1113518191"/>
        <c:axId val="577015440"/>
      </c:barChart>
      <c:catAx>
        <c:axId val="111351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7015440"/>
        <c:crosses val="autoZero"/>
        <c:auto val="1"/>
        <c:lblAlgn val="ctr"/>
        <c:lblOffset val="100"/>
        <c:noMultiLvlLbl val="0"/>
      </c:catAx>
      <c:valAx>
        <c:axId val="57701544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135181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2.3. Población extranjera (N)</a:t>
            </a:r>
          </a:p>
        </c:rich>
      </c:tx>
      <c:layout>
        <c:manualLayout>
          <c:xMode val="edge"/>
          <c:yMode val="edge"/>
          <c:x val="0.41306349206349208"/>
          <c:y val="4.114803921568627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'2. POBLACIÓN Y HOGARES'!$C$41:$D$41</c:f>
              <c:strCache>
                <c:ptCount val="2"/>
                <c:pt idx="0">
                  <c:v>Diferencia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HOGARES'!$E$2:$V$2</c15:sqref>
                  </c15:fullRef>
                </c:ext>
              </c:extLst>
              <c:f>'2. POBLACIÓN Y HOGARES'!$F$2:$V$2</c:f>
              <c:numCache>
                <c:formatCode>General</c:formatCode>
                <c:ptCount val="5"/>
                <c:pt idx="0">
                  <c:v>2010</c:v>
                </c:pt>
                <c:pt idx="1">
                  <c:v>2015</c:v>
                </c:pt>
                <c:pt idx="2">
                  <c:v>2020</c:v>
                </c:pt>
                <c:pt idx="3">
                  <c:v>2021</c:v>
                </c:pt>
                <c:pt idx="4">
                  <c:v>2022</c:v>
                </c:pt>
              </c:numCache>
            </c:numRef>
          </c:cat>
          <c:val>
            <c:numRef>
              <c:extLst>
                <c:ext xmlns:c15="http://schemas.microsoft.com/office/drawing/2012/chart" uri="{02D57815-91ED-43cb-92C2-25804820EDAC}">
                  <c15:fullRef>
                    <c15:sqref>'2. POBLACIÓN Y HOGARES'!$E$41:$X$41</c15:sqref>
                  </c15:fullRef>
                </c:ext>
              </c:extLst>
              <c:f>'2. POBLACIÓN Y HOGARES'!$F$41:$X$41</c:f>
              <c:numCache>
                <c:formatCode>#,##0</c:formatCode>
                <c:ptCount val="7"/>
                <c:pt idx="0">
                  <c:v>7520</c:v>
                </c:pt>
                <c:pt idx="1">
                  <c:v>24823</c:v>
                </c:pt>
                <c:pt idx="2">
                  <c:v>38369</c:v>
                </c:pt>
                <c:pt idx="3">
                  <c:v>36570</c:v>
                </c:pt>
                <c:pt idx="4">
                  <c:v>33917</c:v>
                </c:pt>
                <c:pt idx="5">
                  <c:v>36618</c:v>
                </c:pt>
                <c:pt idx="6">
                  <c:v>36077</c:v>
                </c:pt>
              </c:numCache>
            </c:numRef>
          </c:val>
          <c:extLst>
            <c:ext xmlns:c16="http://schemas.microsoft.com/office/drawing/2014/chart" uri="{C3380CC4-5D6E-409C-BE32-E72D297353CC}">
              <c16:uniqueId val="{00000000-6BDB-4751-A717-222170CB3B85}"/>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HOGARES'!$C$39:$D$39</c:f>
              <c:strCache>
                <c:ptCount val="2"/>
                <c:pt idx="0">
                  <c:v>Hombres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HOGARES'!$E$39:$X$39</c15:sqref>
                  </c15:fullRef>
                </c:ext>
              </c:extLst>
              <c:f>'2. POBLACIÓN Y HOGARES'!$F$39:$X$39</c:f>
              <c:numCache>
                <c:formatCode>#,##0</c:formatCode>
                <c:ptCount val="7"/>
                <c:pt idx="0">
                  <c:v>280916</c:v>
                </c:pt>
                <c:pt idx="1">
                  <c:v>177205</c:v>
                </c:pt>
                <c:pt idx="2">
                  <c:v>236256</c:v>
                </c:pt>
                <c:pt idx="3">
                  <c:v>243712</c:v>
                </c:pt>
                <c:pt idx="4">
                  <c:v>241663</c:v>
                </c:pt>
                <c:pt idx="5">
                  <c:v>266900</c:v>
                </c:pt>
                <c:pt idx="6">
                  <c:v>310481</c:v>
                </c:pt>
              </c:numCache>
            </c:numRef>
          </c:val>
          <c:smooth val="0"/>
          <c:extLst>
            <c:ext xmlns:c16="http://schemas.microsoft.com/office/drawing/2014/chart" uri="{C3380CC4-5D6E-409C-BE32-E72D297353CC}">
              <c16:uniqueId val="{00000001-6BDB-4751-A717-222170CB3B85}"/>
            </c:ext>
          </c:extLst>
        </c:ser>
        <c:ser>
          <c:idx val="1"/>
          <c:order val="1"/>
          <c:tx>
            <c:strRef>
              <c:f>'2. POBLACIÓN Y HOGARES'!$C$40:$D$40</c:f>
              <c:strCache>
                <c:ptCount val="2"/>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HOGARES'!$E$40:$X$40</c15:sqref>
                  </c15:fullRef>
                </c:ext>
              </c:extLst>
              <c:f>'2. POBLACIÓN Y HOGARES'!$F$40:$X$40</c:f>
              <c:numCache>
                <c:formatCode>#,##0</c:formatCode>
                <c:ptCount val="7"/>
                <c:pt idx="0">
                  <c:v>288436</c:v>
                </c:pt>
                <c:pt idx="1">
                  <c:v>202028</c:v>
                </c:pt>
                <c:pt idx="2">
                  <c:v>274625</c:v>
                </c:pt>
                <c:pt idx="3">
                  <c:v>280282</c:v>
                </c:pt>
                <c:pt idx="4">
                  <c:v>275580</c:v>
                </c:pt>
                <c:pt idx="5">
                  <c:v>303518</c:v>
                </c:pt>
                <c:pt idx="6">
                  <c:v>346558</c:v>
                </c:pt>
              </c:numCache>
            </c:numRef>
          </c:val>
          <c:smooth val="0"/>
          <c:extLst>
            <c:ext xmlns:c16="http://schemas.microsoft.com/office/drawing/2014/chart" uri="{C3380CC4-5D6E-409C-BE32-E72D297353CC}">
              <c16:uniqueId val="{00000002-6BDB-4751-A717-222170CB3B85}"/>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layout>
        <c:manualLayout>
          <c:xMode val="edge"/>
          <c:yMode val="edge"/>
          <c:x val="0.48838412698412692"/>
          <c:y val="0.90921111111111108"/>
          <c:w val="0.45059682539682538"/>
          <c:h val="7.00372549019607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7.11 Participantes en escuelas de promoción deportiva </a:t>
            </a:r>
          </a:p>
        </c:rich>
      </c:tx>
      <c:layout>
        <c:manualLayout>
          <c:xMode val="edge"/>
          <c:yMode val="edge"/>
          <c:x val="0.2330404604848865"/>
          <c:y val="2.390741638101329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8452340053062719"/>
          <c:y val="0.16655463604865917"/>
          <c:w val="0.79310152629391428"/>
          <c:h val="0.48526845442876093"/>
        </c:manualLayout>
      </c:layout>
      <c:barChart>
        <c:barDir val="col"/>
        <c:grouping val="stacked"/>
        <c:varyColors val="0"/>
        <c:ser>
          <c:idx val="2"/>
          <c:order val="2"/>
          <c:tx>
            <c:strRef>
              <c:f>'7. EDUC, CIEN, CULT Y DEP'!$C$265:$D$265</c:f>
              <c:strCache>
                <c:ptCount val="2"/>
                <c:pt idx="0">
                  <c:v>Brecha (N)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DEP'!$T$261:$X$261</c:f>
              <c:strCache>
                <c:ptCount val="5"/>
                <c:pt idx="0">
                  <c:v>2020-2021</c:v>
                </c:pt>
                <c:pt idx="1">
                  <c:v>2021-2022</c:v>
                </c:pt>
                <c:pt idx="2">
                  <c:v>2022-2023</c:v>
                </c:pt>
                <c:pt idx="3">
                  <c:v>2023-2024</c:v>
                </c:pt>
                <c:pt idx="4">
                  <c:v>2024-2025</c:v>
                </c:pt>
              </c:strCache>
            </c:strRef>
          </c:cat>
          <c:val>
            <c:numRef>
              <c:f>'7. EDUC, CIEN, CULT Y DEP'!$T$265:$X$265</c:f>
              <c:numCache>
                <c:formatCode>_-* #,##0_-;\-* #,##0_-;_-* "-"??_-;_-@_-</c:formatCode>
                <c:ptCount val="5"/>
                <c:pt idx="0">
                  <c:v>-355</c:v>
                </c:pt>
                <c:pt idx="1">
                  <c:v>-1780</c:v>
                </c:pt>
                <c:pt idx="2">
                  <c:v>-1977</c:v>
                </c:pt>
                <c:pt idx="3">
                  <c:v>-2059</c:v>
                </c:pt>
                <c:pt idx="4">
                  <c:v>-1999</c:v>
                </c:pt>
              </c:numCache>
            </c:numRef>
          </c:val>
          <c:extLst>
            <c:ext xmlns:c16="http://schemas.microsoft.com/office/drawing/2014/chart" uri="{C3380CC4-5D6E-409C-BE32-E72D297353CC}">
              <c16:uniqueId val="{00000005-E559-43E5-A9CD-1C22BD04214F}"/>
            </c:ext>
          </c:extLst>
        </c:ser>
        <c:dLbls>
          <c:showLegendKey val="0"/>
          <c:showVal val="0"/>
          <c:showCatName val="0"/>
          <c:showSerName val="0"/>
          <c:showPercent val="0"/>
          <c:showBubbleSize val="0"/>
        </c:dLbls>
        <c:gapWidth val="150"/>
        <c:overlap val="100"/>
        <c:axId val="709654288"/>
        <c:axId val="808168320"/>
      </c:barChart>
      <c:lineChart>
        <c:grouping val="standard"/>
        <c:varyColors val="0"/>
        <c:ser>
          <c:idx val="0"/>
          <c:order val="0"/>
          <c:tx>
            <c:strRef>
              <c:f>'7. EDUC, CIEN, CULT Y DEP'!$C$263:$D$263</c:f>
              <c:strCache>
                <c:ptCount val="2"/>
                <c:pt idx="0">
                  <c:v>Hombres (N)</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noFill/>
                <a:prstDash val="solid"/>
                <a:miter lim="800000"/>
              </a:ln>
              <a:effectLst/>
            </c:spPr>
          </c:marker>
          <c:cat>
            <c:strRef>
              <c:f>'7. EDUC, CIEN, CULT Y DEP'!$T$261:$X$261</c:f>
              <c:strCache>
                <c:ptCount val="5"/>
                <c:pt idx="0">
                  <c:v>2020-2021</c:v>
                </c:pt>
                <c:pt idx="1">
                  <c:v>2021-2022</c:v>
                </c:pt>
                <c:pt idx="2">
                  <c:v>2022-2023</c:v>
                </c:pt>
                <c:pt idx="3">
                  <c:v>2023-2024</c:v>
                </c:pt>
                <c:pt idx="4">
                  <c:v>2024-2025</c:v>
                </c:pt>
              </c:strCache>
            </c:strRef>
          </c:cat>
          <c:val>
            <c:numRef>
              <c:f>'7. EDUC, CIEN, CULT Y DEP'!$T$263:$X$263</c:f>
              <c:numCache>
                <c:formatCode>_-* #,##0_-;\-* #,##0_-;_-* "-"??_-;_-@_-</c:formatCode>
                <c:ptCount val="5"/>
                <c:pt idx="0">
                  <c:v>1325</c:v>
                </c:pt>
                <c:pt idx="1">
                  <c:v>5141</c:v>
                </c:pt>
                <c:pt idx="2">
                  <c:v>5848</c:v>
                </c:pt>
                <c:pt idx="3">
                  <c:v>5715</c:v>
                </c:pt>
                <c:pt idx="4" formatCode="#,##0">
                  <c:v>5685</c:v>
                </c:pt>
              </c:numCache>
            </c:numRef>
          </c:val>
          <c:smooth val="0"/>
          <c:extLst>
            <c:ext xmlns:c16="http://schemas.microsoft.com/office/drawing/2014/chart" uri="{C3380CC4-5D6E-409C-BE32-E72D297353CC}">
              <c16:uniqueId val="{00000001-34A6-459E-8592-A38E2AAFC960}"/>
            </c:ext>
          </c:extLst>
        </c:ser>
        <c:ser>
          <c:idx val="1"/>
          <c:order val="1"/>
          <c:tx>
            <c:strRef>
              <c:f>'7. EDUC, CIEN, CULT Y DEP'!$C$264:$D$264</c:f>
              <c:strCache>
                <c:ptCount val="2"/>
                <c:pt idx="0">
                  <c:v>Mujeres (N)</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strRef>
              <c:f>'7. EDUC, CIEN, CULT Y DEP'!$T$261:$X$261</c:f>
              <c:strCache>
                <c:ptCount val="5"/>
                <c:pt idx="0">
                  <c:v>2020-2021</c:v>
                </c:pt>
                <c:pt idx="1">
                  <c:v>2021-2022</c:v>
                </c:pt>
                <c:pt idx="2">
                  <c:v>2022-2023</c:v>
                </c:pt>
                <c:pt idx="3">
                  <c:v>2023-2024</c:v>
                </c:pt>
                <c:pt idx="4">
                  <c:v>2024-2025</c:v>
                </c:pt>
              </c:strCache>
            </c:strRef>
          </c:cat>
          <c:val>
            <c:numRef>
              <c:f>'7. EDUC, CIEN, CULT Y DEP'!$T$264:$X$264</c:f>
              <c:numCache>
                <c:formatCode>_-* #,##0_-;\-* #,##0_-;_-* "-"??_-;_-@_-</c:formatCode>
                <c:ptCount val="5"/>
                <c:pt idx="0">
                  <c:v>970</c:v>
                </c:pt>
                <c:pt idx="1">
                  <c:v>3361</c:v>
                </c:pt>
                <c:pt idx="2">
                  <c:v>3871</c:v>
                </c:pt>
                <c:pt idx="3">
                  <c:v>3656</c:v>
                </c:pt>
                <c:pt idx="4" formatCode="#,##0">
                  <c:v>3686</c:v>
                </c:pt>
              </c:numCache>
            </c:numRef>
          </c:val>
          <c:smooth val="0"/>
          <c:extLst>
            <c:ext xmlns:c16="http://schemas.microsoft.com/office/drawing/2014/chart" uri="{C3380CC4-5D6E-409C-BE32-E72D297353CC}">
              <c16:uniqueId val="{00000004-E559-43E5-A9CD-1C22BD04214F}"/>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7.12 Participantes en Juegos Deportivos Municipales individuales</a:t>
            </a:r>
          </a:p>
        </c:rich>
      </c:tx>
      <c:layout>
        <c:manualLayout>
          <c:xMode val="edge"/>
          <c:yMode val="edge"/>
          <c:x val="0.2330404604848865"/>
          <c:y val="2.390741638101329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6611481759990904"/>
          <c:y val="0.14931741627648226"/>
          <c:w val="0.80947601166322714"/>
          <c:h val="0.48526845442876093"/>
        </c:manualLayout>
      </c:layout>
      <c:barChart>
        <c:barDir val="col"/>
        <c:grouping val="stacked"/>
        <c:varyColors val="0"/>
        <c:ser>
          <c:idx val="1"/>
          <c:order val="2"/>
          <c:tx>
            <c:strRef>
              <c:f>'7. EDUC, CIEN, CULT Y DEP'!$D$271</c:f>
              <c:strCache>
                <c:ptCount val="1"/>
                <c:pt idx="0">
                  <c:v>Brecha (N)</c:v>
                </c:pt>
              </c:strCache>
            </c:strRef>
          </c:tx>
          <c:spPr>
            <a:solidFill>
              <a:srgbClr val="FF8989"/>
            </a:solidFill>
            <a:ln>
              <a:noFill/>
            </a:ln>
            <a:effectLst/>
          </c:spPr>
          <c:invertIfNegative val="0"/>
          <c:dLbls>
            <c:dLbl>
              <c:idx val="1"/>
              <c:layout>
                <c:manualLayout>
                  <c:x val="2.034097561405321E-3"/>
                  <c:y val="5.1711641769976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A2-4766-9935-7C9E477B8A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EDUC, CIEN, CULT Y DEP'!$T$267:$W$267</c:f>
              <c:strCache>
                <c:ptCount val="4"/>
                <c:pt idx="0">
                  <c:v>2020-2021</c:v>
                </c:pt>
                <c:pt idx="1">
                  <c:v>2021-2022</c:v>
                </c:pt>
                <c:pt idx="2">
                  <c:v>2022-2023</c:v>
                </c:pt>
                <c:pt idx="3">
                  <c:v>2023-2024</c:v>
                </c:pt>
              </c:strCache>
            </c:strRef>
          </c:cat>
          <c:val>
            <c:numRef>
              <c:f>'7. EDUC, CIEN, CULT Y DEP'!$T$271:$W$271</c:f>
              <c:numCache>
                <c:formatCode>_-* #,##0_-;\-* #,##0_-;_-* "-"??_-;_-@_-</c:formatCode>
                <c:ptCount val="4"/>
                <c:pt idx="0">
                  <c:v>-1066</c:v>
                </c:pt>
                <c:pt idx="1">
                  <c:v>148</c:v>
                </c:pt>
                <c:pt idx="2">
                  <c:v>-343</c:v>
                </c:pt>
                <c:pt idx="3">
                  <c:v>-1598</c:v>
                </c:pt>
              </c:numCache>
            </c:numRef>
          </c:val>
          <c:extLst>
            <c:ext xmlns:c16="http://schemas.microsoft.com/office/drawing/2014/chart" uri="{C3380CC4-5D6E-409C-BE32-E72D297353CC}">
              <c16:uniqueId val="{0000001C-9725-4DA1-B1F8-2F10ACF512F6}"/>
            </c:ext>
          </c:extLst>
        </c:ser>
        <c:dLbls>
          <c:showLegendKey val="0"/>
          <c:showVal val="0"/>
          <c:showCatName val="0"/>
          <c:showSerName val="0"/>
          <c:showPercent val="0"/>
          <c:showBubbleSize val="0"/>
        </c:dLbls>
        <c:gapWidth val="150"/>
        <c:overlap val="100"/>
        <c:axId val="709654288"/>
        <c:axId val="808168320"/>
      </c:barChart>
      <c:lineChart>
        <c:grouping val="standard"/>
        <c:varyColors val="0"/>
        <c:ser>
          <c:idx val="4"/>
          <c:order val="0"/>
          <c:tx>
            <c:strRef>
              <c:f>'7. EDUC, CIEN, CULT Y DEP'!$D$269</c:f>
              <c:strCache>
                <c:ptCount val="1"/>
                <c:pt idx="0">
                  <c:v>Hombres</c:v>
                </c:pt>
              </c:strCache>
            </c:strRef>
          </c:tx>
          <c:spPr>
            <a:ln w="19050" cap="rnd">
              <a:solidFill>
                <a:schemeClr val="tx1">
                  <a:lumMod val="50000"/>
                  <a:lumOff val="50000"/>
                </a:schemeClr>
              </a:solidFill>
              <a:round/>
            </a:ln>
            <a:effectLst/>
          </c:spPr>
          <c:marker>
            <c:symbol val="circle"/>
            <c:size val="5"/>
            <c:spPr>
              <a:solidFill>
                <a:schemeClr val="tx1">
                  <a:lumMod val="50000"/>
                  <a:lumOff val="50000"/>
                </a:schemeClr>
              </a:solidFill>
              <a:ln w="12700" cap="flat" cmpd="sng" algn="ctr">
                <a:noFill/>
                <a:prstDash val="solid"/>
                <a:miter lim="800000"/>
              </a:ln>
              <a:effectLst/>
            </c:spPr>
          </c:marker>
          <c:cat>
            <c:strRef>
              <c:f>'7. EDUC, CIEN, CULT Y DEP'!$T$267:$W$267</c:f>
              <c:strCache>
                <c:ptCount val="4"/>
                <c:pt idx="0">
                  <c:v>2020-2021</c:v>
                </c:pt>
                <c:pt idx="1">
                  <c:v>2021-2022</c:v>
                </c:pt>
                <c:pt idx="2">
                  <c:v>2022-2023</c:v>
                </c:pt>
                <c:pt idx="3">
                  <c:v>2023-2024</c:v>
                </c:pt>
              </c:strCache>
            </c:strRef>
          </c:cat>
          <c:val>
            <c:numRef>
              <c:f>'7. EDUC, CIEN, CULT Y DEP'!$T$269:$W$269</c:f>
              <c:numCache>
                <c:formatCode>#,##0</c:formatCode>
                <c:ptCount val="4"/>
                <c:pt idx="0">
                  <c:v>12349</c:v>
                </c:pt>
                <c:pt idx="1">
                  <c:v>3012</c:v>
                </c:pt>
                <c:pt idx="2">
                  <c:v>5092</c:v>
                </c:pt>
                <c:pt idx="3">
                  <c:v>18466</c:v>
                </c:pt>
              </c:numCache>
            </c:numRef>
          </c:val>
          <c:smooth val="0"/>
          <c:extLst>
            <c:ext xmlns:c16="http://schemas.microsoft.com/office/drawing/2014/chart" uri="{C3380CC4-5D6E-409C-BE32-E72D297353CC}">
              <c16:uniqueId val="{00000012-9725-4DA1-B1F8-2F10ACF512F6}"/>
            </c:ext>
          </c:extLst>
        </c:ser>
        <c:ser>
          <c:idx val="0"/>
          <c:order val="1"/>
          <c:tx>
            <c:strRef>
              <c:f>'7. EDUC, CIEN, CULT Y DEP'!$D$270</c:f>
              <c:strCache>
                <c:ptCount val="1"/>
                <c:pt idx="0">
                  <c:v>Mujeres</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dPt>
            <c:idx val="0"/>
            <c:marker>
              <c:symbol val="circle"/>
              <c:size val="5"/>
              <c:spPr>
                <a:solidFill>
                  <a:srgbClr val="C00000"/>
                </a:solidFill>
                <a:ln w="12700" cap="flat" cmpd="sng" algn="ctr">
                  <a:noFill/>
                  <a:prstDash val="solid"/>
                  <a:miter lim="800000"/>
                </a:ln>
                <a:effectLst/>
              </c:spPr>
            </c:marker>
            <c:bubble3D val="0"/>
            <c:extLst>
              <c:ext xmlns:c16="http://schemas.microsoft.com/office/drawing/2014/chart" uri="{C3380CC4-5D6E-409C-BE32-E72D297353CC}">
                <c16:uniqueId val="{0000001E-9725-4DA1-B1F8-2F10ACF512F6}"/>
              </c:ext>
            </c:extLst>
          </c:dPt>
          <c:cat>
            <c:strRef>
              <c:f>'7. EDUC, CIEN, CULT Y DEP'!$T$267:$W$267</c:f>
              <c:strCache>
                <c:ptCount val="4"/>
                <c:pt idx="0">
                  <c:v>2020-2021</c:v>
                </c:pt>
                <c:pt idx="1">
                  <c:v>2021-2022</c:v>
                </c:pt>
                <c:pt idx="2">
                  <c:v>2022-2023</c:v>
                </c:pt>
                <c:pt idx="3">
                  <c:v>2023-2024</c:v>
                </c:pt>
              </c:strCache>
            </c:strRef>
          </c:cat>
          <c:val>
            <c:numRef>
              <c:f>'7. EDUC, CIEN, CULT Y DEP'!$T$270:$W$270</c:f>
              <c:numCache>
                <c:formatCode>#,##0</c:formatCode>
                <c:ptCount val="4"/>
                <c:pt idx="0">
                  <c:v>11283</c:v>
                </c:pt>
                <c:pt idx="1">
                  <c:v>3160</c:v>
                </c:pt>
                <c:pt idx="2">
                  <c:v>4749</c:v>
                </c:pt>
                <c:pt idx="3">
                  <c:v>16868</c:v>
                </c:pt>
              </c:numCache>
            </c:numRef>
          </c:val>
          <c:smooth val="0"/>
          <c:extLst>
            <c:ext xmlns:c16="http://schemas.microsoft.com/office/drawing/2014/chart" uri="{C3380CC4-5D6E-409C-BE32-E72D297353CC}">
              <c16:uniqueId val="{0000001B-9725-4DA1-B1F8-2F10ACF512F6}"/>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7.12 Participantes en Juegos Deportivos Municipales colectivos</a:t>
            </a:r>
          </a:p>
        </c:rich>
      </c:tx>
      <c:layout>
        <c:manualLayout>
          <c:xMode val="edge"/>
          <c:yMode val="edge"/>
          <c:x val="0.2330404604848865"/>
          <c:y val="2.390741638101329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2"/>
          <c:order val="2"/>
          <c:tx>
            <c:strRef>
              <c:f>'7. EDUC, CIEN, CULT Y DEP'!$D$276</c:f>
              <c:strCache>
                <c:ptCount val="1"/>
                <c:pt idx="0">
                  <c:v>Brecha (N)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'7. EDUC, CIEN, CULT Y DEP'!$T$276:$W$276</c:f>
              <c:numCache>
                <c:formatCode>_-* #,##0_-;\-* #,##0_-;_-* "-"??_-;_-@_-</c:formatCode>
                <c:ptCount val="4"/>
                <c:pt idx="0">
                  <c:v>-47499</c:v>
                </c:pt>
                <c:pt idx="1">
                  <c:v>-20195</c:v>
                </c:pt>
                <c:pt idx="2">
                  <c:v>-37128</c:v>
                </c:pt>
                <c:pt idx="3">
                  <c:v>-51651</c:v>
                </c:pt>
              </c:numCache>
            </c:numRef>
          </c:val>
          <c:extLst>
            <c:ext xmlns:c16="http://schemas.microsoft.com/office/drawing/2014/chart" uri="{C3380CC4-5D6E-409C-BE32-E72D297353CC}">
              <c16:uniqueId val="{00000001-4CF7-45F1-BC25-ED6C3C751280}"/>
            </c:ext>
          </c:extLst>
        </c:ser>
        <c:dLbls>
          <c:showLegendKey val="0"/>
          <c:showVal val="0"/>
          <c:showCatName val="0"/>
          <c:showSerName val="0"/>
          <c:showPercent val="0"/>
          <c:showBubbleSize val="0"/>
        </c:dLbls>
        <c:gapWidth val="150"/>
        <c:overlap val="100"/>
        <c:axId val="709654288"/>
        <c:axId val="808168320"/>
      </c:barChart>
      <c:lineChart>
        <c:grouping val="standard"/>
        <c:varyColors val="0"/>
        <c:ser>
          <c:idx val="0"/>
          <c:order val="0"/>
          <c:tx>
            <c:strRef>
              <c:f>'7. EDUC, CIEN, CULT Y DEP'!$D$274</c:f>
              <c:strCache>
                <c:ptCount val="1"/>
                <c:pt idx="0">
                  <c:v>Hombres</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9050" cap="flat" cmpd="sng" algn="ctr">
                <a:noFill/>
                <a:prstDash val="solid"/>
                <a:miter lim="800000"/>
              </a:ln>
              <a:effectLst/>
            </c:spPr>
          </c:marker>
          <c:cat>
            <c:strRef>
              <c:f>'7. EDUC, CIEN, CULT Y DEP'!$T$267:$W$267</c:f>
              <c:strCache>
                <c:ptCount val="4"/>
                <c:pt idx="0">
                  <c:v>2020-2021</c:v>
                </c:pt>
                <c:pt idx="1">
                  <c:v>2021-2022</c:v>
                </c:pt>
                <c:pt idx="2">
                  <c:v>2022-2023</c:v>
                </c:pt>
                <c:pt idx="3">
                  <c:v>2023-2024</c:v>
                </c:pt>
              </c:strCache>
            </c:strRef>
          </c:cat>
          <c:val>
            <c:numRef>
              <c:f>'7. EDUC, CIEN, CULT Y DEP'!$T$274:$W$274</c:f>
              <c:numCache>
                <c:formatCode>#,##0</c:formatCode>
                <c:ptCount val="4"/>
                <c:pt idx="0">
                  <c:v>61641</c:v>
                </c:pt>
                <c:pt idx="1">
                  <c:v>27946</c:v>
                </c:pt>
                <c:pt idx="2">
                  <c:v>49961</c:v>
                </c:pt>
                <c:pt idx="3">
                  <c:v>79774</c:v>
                </c:pt>
              </c:numCache>
            </c:numRef>
          </c:val>
          <c:smooth val="0"/>
          <c:extLst>
            <c:ext xmlns:c16="http://schemas.microsoft.com/office/drawing/2014/chart" uri="{C3380CC4-5D6E-409C-BE32-E72D297353CC}">
              <c16:uniqueId val="{00000001-D8DF-4B37-A852-F28AD1210F49}"/>
            </c:ext>
          </c:extLst>
        </c:ser>
        <c:ser>
          <c:idx val="1"/>
          <c:order val="1"/>
          <c:tx>
            <c:strRef>
              <c:f>'7. EDUC, CIEN, CULT Y DEP'!$D$275</c:f>
              <c:strCache>
                <c:ptCount val="1"/>
                <c:pt idx="0">
                  <c:v>Mujeres</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strRef>
              <c:f>'7. EDUC, CIEN, CULT Y DEP'!$T$267:$W$267</c:f>
              <c:strCache>
                <c:ptCount val="4"/>
                <c:pt idx="0">
                  <c:v>2020-2021</c:v>
                </c:pt>
                <c:pt idx="1">
                  <c:v>2021-2022</c:v>
                </c:pt>
                <c:pt idx="2">
                  <c:v>2022-2023</c:v>
                </c:pt>
                <c:pt idx="3">
                  <c:v>2023-2024</c:v>
                </c:pt>
              </c:strCache>
            </c:strRef>
          </c:cat>
          <c:val>
            <c:numRef>
              <c:f>'7. EDUC, CIEN, CULT Y DEP'!$T$275:$W$275</c:f>
              <c:numCache>
                <c:formatCode>#,##0</c:formatCode>
                <c:ptCount val="4"/>
                <c:pt idx="0">
                  <c:v>14142</c:v>
                </c:pt>
                <c:pt idx="1">
                  <c:v>7751</c:v>
                </c:pt>
                <c:pt idx="2">
                  <c:v>12833</c:v>
                </c:pt>
                <c:pt idx="3">
                  <c:v>28123</c:v>
                </c:pt>
              </c:numCache>
            </c:numRef>
          </c:val>
          <c:smooth val="0"/>
          <c:extLst>
            <c:ext xmlns:c16="http://schemas.microsoft.com/office/drawing/2014/chart" uri="{C3380CC4-5D6E-409C-BE32-E72D297353CC}">
              <c16:uniqueId val="{00000000-4CF7-45F1-BC25-ED6C3C751280}"/>
            </c:ext>
          </c:extLst>
        </c:ser>
        <c:dLbls>
          <c:showLegendKey val="0"/>
          <c:showVal val="0"/>
          <c:showCatName val="0"/>
          <c:showSerName val="0"/>
          <c:showPercent val="0"/>
          <c:showBubbleSize val="0"/>
        </c:dLbls>
        <c:marker val="1"/>
        <c:smooth val="0"/>
        <c:axId val="709654288"/>
        <c:axId val="808168320"/>
      </c:lineChart>
      <c:catAx>
        <c:axId val="709654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08168320"/>
        <c:crosses val="autoZero"/>
        <c:auto val="1"/>
        <c:lblAlgn val="ctr"/>
        <c:lblOffset val="100"/>
        <c:noMultiLvlLbl val="0"/>
      </c:catAx>
      <c:valAx>
        <c:axId val="8081683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096542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8.1 Representación femenina en las Concejalías del Ayuntamiento de Madrid (%)</a:t>
            </a:r>
          </a:p>
        </c:rich>
      </c:tx>
      <c:layout>
        <c:manualLayout>
          <c:xMode val="edge"/>
          <c:yMode val="edge"/>
          <c:x val="0.13604150489964298"/>
          <c:y val="1.49885416666666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3"/>
          <c:order val="3"/>
          <c:tx>
            <c:strRef>
              <c:f>'8. PODER Y PARTICIPACIÓN'!$C$6:$D$6</c:f>
              <c:strCache>
                <c:ptCount val="2"/>
                <c:pt idx="0">
                  <c:v>% Mujeres</c:v>
                </c:pt>
              </c:strCache>
            </c:strRef>
          </c:tx>
          <c:spPr>
            <a:solidFill>
              <a:srgbClr val="FF8989"/>
            </a:solidFill>
            <a:ln>
              <a:noFill/>
            </a:ln>
            <a:effectLst/>
          </c:spPr>
          <c:invertIfNegative val="0"/>
          <c:dLbls>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lumMod val="75000"/>
                          <a:lumOff val="25000"/>
                        </a:sysClr>
                      </a:solidFill>
                      <a:latin typeface="+mn-lt"/>
                      <a:ea typeface="+mn-ea"/>
                      <a:cs typeface="+mn-cs"/>
                    </a:defRPr>
                  </a:pPr>
                  <a:endParaRPr lang="es-ES"/>
                </a:p>
              </c:txPr>
              <c:dLblPos val="outEnd"/>
              <c:showLegendKey val="0"/>
              <c:showVal val="1"/>
              <c:showCatName val="0"/>
              <c:showSerName val="0"/>
              <c:showPercent val="0"/>
              <c:showBubbleSize val="0"/>
              <c:extLst>
                <c:ext xmlns:c16="http://schemas.microsoft.com/office/drawing/2014/chart" uri="{C3380CC4-5D6E-409C-BE32-E72D297353CC}">
                  <c16:uniqueId val="{00000000-A627-425C-BEE1-74425552FD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PARTICIPACIÓN'!$E$2:$W$2</c:f>
              <c:numCache>
                <c:formatCode>General</c:formatCode>
                <c:ptCount val="14"/>
                <c:pt idx="0">
                  <c:v>2005</c:v>
                </c:pt>
                <c:pt idx="1">
                  <c:v>2006</c:v>
                </c:pt>
                <c:pt idx="2">
                  <c:v>2007</c:v>
                </c:pt>
                <c:pt idx="3">
                  <c:v>2010</c:v>
                </c:pt>
                <c:pt idx="4">
                  <c:v>2011</c:v>
                </c:pt>
                <c:pt idx="5">
                  <c:v>2015</c:v>
                </c:pt>
                <c:pt idx="6">
                  <c:v>2016</c:v>
                </c:pt>
                <c:pt idx="7">
                  <c:v>2017</c:v>
                </c:pt>
                <c:pt idx="8">
                  <c:v>2018</c:v>
                </c:pt>
                <c:pt idx="9">
                  <c:v>2019</c:v>
                </c:pt>
                <c:pt idx="10">
                  <c:v>2020</c:v>
                </c:pt>
                <c:pt idx="11">
                  <c:v>2021</c:v>
                </c:pt>
                <c:pt idx="12">
                  <c:v>2022</c:v>
                </c:pt>
                <c:pt idx="13">
                  <c:v>2023</c:v>
                </c:pt>
              </c:numCache>
            </c:numRef>
          </c:cat>
          <c:val>
            <c:numRef>
              <c:f>'8. PODER Y PARTICIPACIÓN'!$E$6:$W$6</c:f>
              <c:numCache>
                <c:formatCode>0.00</c:formatCode>
                <c:ptCount val="14"/>
                <c:pt idx="2" formatCode="0.0">
                  <c:v>47.368421052631575</c:v>
                </c:pt>
                <c:pt idx="5" formatCode="0.0">
                  <c:v>45.614035087719294</c:v>
                </c:pt>
                <c:pt idx="9" formatCode="0.0">
                  <c:v>49.122807017543856</c:v>
                </c:pt>
                <c:pt idx="13" formatCode="0.0">
                  <c:v>49.122807017543856</c:v>
                </c:pt>
              </c:numCache>
            </c:numRef>
          </c:val>
          <c:extLst>
            <c:ext xmlns:c16="http://schemas.microsoft.com/office/drawing/2014/chart" uri="{C3380CC4-5D6E-409C-BE32-E72D297353CC}">
              <c16:uniqueId val="{00000001-3E8E-4CE5-B134-840528428D2A}"/>
            </c:ext>
          </c:extLst>
        </c:ser>
        <c:dLbls>
          <c:showLegendKey val="0"/>
          <c:showVal val="0"/>
          <c:showCatName val="0"/>
          <c:showSerName val="0"/>
          <c:showPercent val="0"/>
          <c:showBubbleSize val="0"/>
        </c:dLbls>
        <c:gapWidth val="219"/>
        <c:axId val="489500552"/>
        <c:axId val="489496232"/>
      </c:barChart>
      <c:lineChart>
        <c:grouping val="standard"/>
        <c:varyColors val="0"/>
        <c:ser>
          <c:idx val="1"/>
          <c:order val="1"/>
          <c:tx>
            <c:strRef>
              <c:f>'8. PODER Y PARTICIPACIÓN'!$C$4:$D$4</c:f>
              <c:strCache>
                <c:ptCount val="2"/>
                <c:pt idx="0">
                  <c:v>Hombres (N)</c:v>
                </c:pt>
              </c:strCache>
            </c:strRef>
          </c:tx>
          <c:spPr>
            <a:ln w="12700" cap="rnd">
              <a:solidFill>
                <a:schemeClr val="bg2">
                  <a:lumMod val="50000"/>
                </a:schemeClr>
              </a:solidFill>
              <a:round/>
            </a:ln>
            <a:effectLst/>
          </c:spPr>
          <c:marker>
            <c:symbol val="circle"/>
            <c:size val="6"/>
            <c:spPr>
              <a:solidFill>
                <a:schemeClr val="bg2">
                  <a:lumMod val="50000"/>
                </a:schemeClr>
              </a:solidFill>
              <a:ln w="12700">
                <a:solidFill>
                  <a:schemeClr val="bg2">
                    <a:lumMod val="50000"/>
                  </a:schemeClr>
                </a:solidFill>
              </a:ln>
              <a:effectLst/>
            </c:spPr>
          </c:marker>
          <c:cat>
            <c:numRef>
              <c:f>'8. PODER Y PARTICIPACIÓN'!$E$2:$W$2</c:f>
              <c:numCache>
                <c:formatCode>General</c:formatCode>
                <c:ptCount val="14"/>
                <c:pt idx="0">
                  <c:v>2005</c:v>
                </c:pt>
                <c:pt idx="1">
                  <c:v>2006</c:v>
                </c:pt>
                <c:pt idx="2">
                  <c:v>2007</c:v>
                </c:pt>
                <c:pt idx="3">
                  <c:v>2010</c:v>
                </c:pt>
                <c:pt idx="4">
                  <c:v>2011</c:v>
                </c:pt>
                <c:pt idx="5">
                  <c:v>2015</c:v>
                </c:pt>
                <c:pt idx="6">
                  <c:v>2016</c:v>
                </c:pt>
                <c:pt idx="7">
                  <c:v>2017</c:v>
                </c:pt>
                <c:pt idx="8">
                  <c:v>2018</c:v>
                </c:pt>
                <c:pt idx="9">
                  <c:v>2019</c:v>
                </c:pt>
                <c:pt idx="10">
                  <c:v>2020</c:v>
                </c:pt>
                <c:pt idx="11">
                  <c:v>2021</c:v>
                </c:pt>
                <c:pt idx="12">
                  <c:v>2022</c:v>
                </c:pt>
                <c:pt idx="13">
                  <c:v>2023</c:v>
                </c:pt>
              </c:numCache>
            </c:numRef>
          </c:cat>
          <c:val>
            <c:numRef>
              <c:f>'8. PODER Y PARTICIPACIÓN'!$E$4:$W$4</c:f>
              <c:numCache>
                <c:formatCode>0.00</c:formatCode>
                <c:ptCount val="14"/>
                <c:pt idx="2" formatCode="_-* #,##0_-;\-* #,##0_-;_-* &quot;-&quot;??_-;_-@_-">
                  <c:v>30</c:v>
                </c:pt>
                <c:pt idx="5" formatCode="_-* #,##0_-;\-* #,##0_-;_-* &quot;-&quot;??_-;_-@_-">
                  <c:v>31</c:v>
                </c:pt>
                <c:pt idx="9" formatCode="_-* #,##0_-;\-* #,##0_-;_-* &quot;-&quot;??_-;_-@_-">
                  <c:v>29</c:v>
                </c:pt>
                <c:pt idx="13" formatCode="_-* #,##0_-;\-* #,##0_-;_-* &quot;-&quot;??_-;_-@_-">
                  <c:v>29</c:v>
                </c:pt>
              </c:numCache>
            </c:numRef>
          </c:val>
          <c:smooth val="0"/>
          <c:extLst>
            <c:ext xmlns:c16="http://schemas.microsoft.com/office/drawing/2014/chart" uri="{C3380CC4-5D6E-409C-BE32-E72D297353CC}">
              <c16:uniqueId val="{00000008-FB18-4ECA-9AF0-5FF3E5C6EEE8}"/>
            </c:ext>
          </c:extLst>
        </c:ser>
        <c:ser>
          <c:idx val="2"/>
          <c:order val="2"/>
          <c:tx>
            <c:strRef>
              <c:f>'8. PODER Y PARTICIPACIÓN'!$C$5:$D$5</c:f>
              <c:strCache>
                <c:ptCount val="2"/>
                <c:pt idx="0">
                  <c:v>Mujeres (N)</c:v>
                </c:pt>
              </c:strCache>
            </c:strRef>
          </c:tx>
          <c:spPr>
            <a:ln w="12700" cap="rnd">
              <a:solidFill>
                <a:srgbClr val="C00000"/>
              </a:solidFill>
              <a:round/>
            </a:ln>
            <a:effectLst/>
          </c:spPr>
          <c:marker>
            <c:symbol val="circle"/>
            <c:size val="6"/>
            <c:spPr>
              <a:solidFill>
                <a:srgbClr val="C00000"/>
              </a:solidFill>
              <a:ln w="12700">
                <a:solidFill>
                  <a:srgbClr val="C00000"/>
                </a:solidFill>
              </a:ln>
              <a:effectLst/>
            </c:spPr>
          </c:marker>
          <c:cat>
            <c:numRef>
              <c:f>'8. PODER Y PARTICIPACIÓN'!$E$2:$W$2</c:f>
              <c:numCache>
                <c:formatCode>General</c:formatCode>
                <c:ptCount val="14"/>
                <c:pt idx="0">
                  <c:v>2005</c:v>
                </c:pt>
                <c:pt idx="1">
                  <c:v>2006</c:v>
                </c:pt>
                <c:pt idx="2">
                  <c:v>2007</c:v>
                </c:pt>
                <c:pt idx="3">
                  <c:v>2010</c:v>
                </c:pt>
                <c:pt idx="4">
                  <c:v>2011</c:v>
                </c:pt>
                <c:pt idx="5">
                  <c:v>2015</c:v>
                </c:pt>
                <c:pt idx="6">
                  <c:v>2016</c:v>
                </c:pt>
                <c:pt idx="7">
                  <c:v>2017</c:v>
                </c:pt>
                <c:pt idx="8">
                  <c:v>2018</c:v>
                </c:pt>
                <c:pt idx="9">
                  <c:v>2019</c:v>
                </c:pt>
                <c:pt idx="10">
                  <c:v>2020</c:v>
                </c:pt>
                <c:pt idx="11">
                  <c:v>2021</c:v>
                </c:pt>
                <c:pt idx="12">
                  <c:v>2022</c:v>
                </c:pt>
                <c:pt idx="13">
                  <c:v>2023</c:v>
                </c:pt>
              </c:numCache>
            </c:numRef>
          </c:cat>
          <c:val>
            <c:numRef>
              <c:f>'8. PODER Y PARTICIPACIÓN'!$E$5:$W$5</c:f>
              <c:numCache>
                <c:formatCode>0.00</c:formatCode>
                <c:ptCount val="14"/>
                <c:pt idx="2" formatCode="_-* #,##0_-;\-* #,##0_-;_-* &quot;-&quot;??_-;_-@_-">
                  <c:v>27</c:v>
                </c:pt>
                <c:pt idx="5" formatCode="_-* #,##0_-;\-* #,##0_-;_-* &quot;-&quot;??_-;_-@_-">
                  <c:v>26</c:v>
                </c:pt>
                <c:pt idx="9" formatCode="_-* #,##0_-;\-* #,##0_-;_-* &quot;-&quot;??_-;_-@_-">
                  <c:v>28</c:v>
                </c:pt>
                <c:pt idx="13" formatCode="_-* #,##0_-;\-* #,##0_-;_-* &quot;-&quot;??_-;_-@_-">
                  <c:v>28</c:v>
                </c:pt>
              </c:numCache>
            </c:numRef>
          </c:val>
          <c:smooth val="0"/>
          <c:extLst>
            <c:ext xmlns:c16="http://schemas.microsoft.com/office/drawing/2014/chart" uri="{C3380CC4-5D6E-409C-BE32-E72D297353CC}">
              <c16:uniqueId val="{00000006-FB18-4ECA-9AF0-5FF3E5C6EEE8}"/>
            </c:ext>
          </c:extLst>
        </c:ser>
        <c:dLbls>
          <c:showLegendKey val="0"/>
          <c:showVal val="0"/>
          <c:showCatName val="0"/>
          <c:showSerName val="0"/>
          <c:showPercent val="0"/>
          <c:showBubbleSize val="0"/>
        </c:dLbls>
        <c:marker val="1"/>
        <c:smooth val="0"/>
        <c:axId val="158062511"/>
        <c:axId val="1500577887"/>
        <c:extLst>
          <c:ext xmlns:c15="http://schemas.microsoft.com/office/drawing/2012/chart" uri="{02D57815-91ED-43cb-92C2-25804820EDAC}">
            <c15:filteredLineSeries>
              <c15:ser>
                <c:idx val="0"/>
                <c:order val="0"/>
                <c:tx>
                  <c:strRef>
                    <c:extLst>
                      <c:ext uri="{02D57815-91ED-43cb-92C2-25804820EDAC}">
                        <c15:formulaRef>
                          <c15:sqref>'8. PODER Y PARTICIPACIÓN'!$C$3:$D$3</c15:sqref>
                        </c15:formulaRef>
                      </c:ext>
                    </c:extLst>
                    <c:strCache>
                      <c:ptCount val="2"/>
                      <c:pt idx="0">
                        <c:v>Ambos sexos (N)</c:v>
                      </c:pt>
                    </c:strCache>
                  </c:strRef>
                </c:tx>
                <c:spPr>
                  <a:ln w="28575" cap="rnd">
                    <a:solidFill>
                      <a:schemeClr val="accent1"/>
                    </a:solidFill>
                    <a:round/>
                  </a:ln>
                  <a:effectLst/>
                </c:spPr>
                <c:marker>
                  <c:symbol val="circle"/>
                  <c:size val="6"/>
                  <c:spPr>
                    <a:solidFill>
                      <a:schemeClr val="bg2">
                        <a:lumMod val="50000"/>
                      </a:schemeClr>
                    </a:solidFill>
                    <a:ln w="12700">
                      <a:solidFill>
                        <a:schemeClr val="bg2">
                          <a:lumMod val="50000"/>
                        </a:schemeClr>
                      </a:solidFill>
                    </a:ln>
                    <a:effectLst/>
                  </c:spPr>
                </c:marker>
                <c:cat>
                  <c:numRef>
                    <c:extLst>
                      <c:ext uri="{02D57815-91ED-43cb-92C2-25804820EDAC}">
                        <c15:formulaRef>
                          <c15:sqref>'8. PODER Y PARTICIPACIÓN'!$E$2:$W$2</c15:sqref>
                        </c15:formulaRef>
                      </c:ext>
                    </c:extLst>
                    <c:numCache>
                      <c:formatCode>General</c:formatCode>
                      <c:ptCount val="14"/>
                      <c:pt idx="0">
                        <c:v>2005</c:v>
                      </c:pt>
                      <c:pt idx="1">
                        <c:v>2006</c:v>
                      </c:pt>
                      <c:pt idx="2">
                        <c:v>2007</c:v>
                      </c:pt>
                      <c:pt idx="3">
                        <c:v>2010</c:v>
                      </c:pt>
                      <c:pt idx="4">
                        <c:v>2011</c:v>
                      </c:pt>
                      <c:pt idx="5">
                        <c:v>2015</c:v>
                      </c:pt>
                      <c:pt idx="6">
                        <c:v>2016</c:v>
                      </c:pt>
                      <c:pt idx="7">
                        <c:v>2017</c:v>
                      </c:pt>
                      <c:pt idx="8">
                        <c:v>2018</c:v>
                      </c:pt>
                      <c:pt idx="9">
                        <c:v>2019</c:v>
                      </c:pt>
                      <c:pt idx="10">
                        <c:v>2020</c:v>
                      </c:pt>
                      <c:pt idx="11">
                        <c:v>2021</c:v>
                      </c:pt>
                      <c:pt idx="12">
                        <c:v>2022</c:v>
                      </c:pt>
                      <c:pt idx="13">
                        <c:v>2023</c:v>
                      </c:pt>
                    </c:numCache>
                  </c:numRef>
                </c:cat>
                <c:val>
                  <c:numRef>
                    <c:extLst>
                      <c:ext uri="{02D57815-91ED-43cb-92C2-25804820EDAC}">
                        <c15:formulaRef>
                          <c15:sqref>'8. PODER Y PARTICIPACIÓN'!$E$3:$W$3</c15:sqref>
                        </c15:formulaRef>
                      </c:ext>
                    </c:extLst>
                    <c:numCache>
                      <c:formatCode>General</c:formatCode>
                      <c:ptCount val="14"/>
                      <c:pt idx="2" formatCode="_-* #,##0_-;\-* #,##0_-;_-* &quot;-&quot;??_-;_-@_-">
                        <c:v>57</c:v>
                      </c:pt>
                      <c:pt idx="5" formatCode="_-* #,##0_-;\-* #,##0_-;_-* &quot;-&quot;??_-;_-@_-">
                        <c:v>57</c:v>
                      </c:pt>
                      <c:pt idx="9" formatCode="_-* #,##0_-;\-* #,##0_-;_-* &quot;-&quot;??_-;_-@_-">
                        <c:v>57</c:v>
                      </c:pt>
                      <c:pt idx="13" formatCode="_-* #,##0_-;\-* #,##0_-;_-* &quot;-&quot;??_-;_-@_-">
                        <c:v>57</c:v>
                      </c:pt>
                    </c:numCache>
                  </c:numRef>
                </c:val>
                <c:smooth val="0"/>
                <c:extLst>
                  <c:ext xmlns:c16="http://schemas.microsoft.com/office/drawing/2014/chart" uri="{C3380CC4-5D6E-409C-BE32-E72D297353CC}">
                    <c16:uniqueId val="{00000007-FB18-4ECA-9AF0-5FF3E5C6EEE8}"/>
                  </c:ext>
                </c:extLst>
              </c15:ser>
            </c15:filteredLineSeries>
          </c:ext>
        </c:extLst>
      </c:lineChart>
      <c:catAx>
        <c:axId val="15806251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max val="35"/>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Nº concejales/as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valAx>
        <c:axId val="489496232"/>
        <c:scaling>
          <c:orientation val="minMax"/>
          <c:max val="5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 mujeres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9500552"/>
        <c:crosses val="max"/>
        <c:crossBetween val="between"/>
      </c:valAx>
      <c:catAx>
        <c:axId val="489500552"/>
        <c:scaling>
          <c:orientation val="minMax"/>
        </c:scaling>
        <c:delete val="1"/>
        <c:axPos val="b"/>
        <c:numFmt formatCode="General" sourceLinked="1"/>
        <c:majorTickMark val="out"/>
        <c:minorTickMark val="none"/>
        <c:tickLblPos val="nextTo"/>
        <c:crossAx val="48949623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8.3 Porcentaje de población ocupada en puestos de dirección o gerencia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3"/>
          <c:order val="3"/>
          <c:tx>
            <c:strRef>
              <c:f>'8. PODER Y PARTICIPACIÓN'!$C$29:$D$29</c:f>
              <c:strCache>
                <c:ptCount val="2"/>
                <c:pt idx="0">
                  <c:v>Brecha (punt.porc.)</c:v>
                </c:pt>
              </c:strCache>
            </c:strRef>
          </c:tx>
          <c:spPr>
            <a:solidFill>
              <a:srgbClr val="FF8989">
                <a:alpha val="80000"/>
              </a:srgb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PARTICIPACIÓN'!$E$20,'8. PODER Y PARTICIPACIÓN'!$J$20,'8. PODER Y PARTICIPACIÓN'!$O$20,'8. PODER Y PARTICIPACIÓN'!$T$20,'8. PODER Y PARTICIPACIÓN'!$U$20,'8. PODER Y PARTICIPACIÓN'!$V$20,'8. PODER Y PARTICIPACIÓN'!$W$20,'8. PODER Y PARTICIPACIÓN'!$X$20)</c:f>
              <c:numCache>
                <c:formatCode>General</c:formatCode>
                <c:ptCount val="8"/>
                <c:pt idx="0">
                  <c:v>2005</c:v>
                </c:pt>
                <c:pt idx="1">
                  <c:v>2010</c:v>
                </c:pt>
                <c:pt idx="2">
                  <c:v>2015</c:v>
                </c:pt>
                <c:pt idx="3">
                  <c:v>2020</c:v>
                </c:pt>
                <c:pt idx="4">
                  <c:v>2021</c:v>
                </c:pt>
                <c:pt idx="5">
                  <c:v>2022</c:v>
                </c:pt>
                <c:pt idx="6">
                  <c:v>2023</c:v>
                </c:pt>
                <c:pt idx="7">
                  <c:v>2024</c:v>
                </c:pt>
              </c:numCache>
            </c:numRef>
          </c:cat>
          <c:val>
            <c:numRef>
              <c:f>('8. PODER Y PARTICIPACIÓN'!$E$24,'8. PODER Y PARTICIPACIÓN'!$J$24,'8. PODER Y PARTICIPACIÓN'!$O$24,'8. PODER Y PARTICIPACIÓN'!$T$24,'8. PODER Y PARTICIPACIÓN'!$U$24,'8. PODER Y PARTICIPACIÓN'!$V$24,'8. PODER Y PARTICIPACIÓN'!$W$24,'8. PODER Y PARTICIPACIÓN'!$X$24)</c:f>
              <c:numCache>
                <c:formatCode>0.0</c:formatCode>
                <c:ptCount val="8"/>
                <c:pt idx="0">
                  <c:v>-3.2158472061224495</c:v>
                </c:pt>
                <c:pt idx="1">
                  <c:v>-2.9824013406613563</c:v>
                </c:pt>
                <c:pt idx="2">
                  <c:v>-3.3890296700698284</c:v>
                </c:pt>
                <c:pt idx="3">
                  <c:v>-1.399827277008364</c:v>
                </c:pt>
                <c:pt idx="4">
                  <c:v>-3.0858414065303195</c:v>
                </c:pt>
                <c:pt idx="5">
                  <c:v>-2.4337547499024872</c:v>
                </c:pt>
                <c:pt idx="6">
                  <c:v>-2.5280122445461179</c:v>
                </c:pt>
                <c:pt idx="7">
                  <c:v>-2.4019382406900056</c:v>
                </c:pt>
              </c:numCache>
            </c:numRef>
          </c:val>
          <c:extLst>
            <c:ext xmlns:c16="http://schemas.microsoft.com/office/drawing/2014/chart" uri="{C3380CC4-5D6E-409C-BE32-E72D297353CC}">
              <c16:uniqueId val="{00000004-CA1F-412A-ACCF-150EB371587E}"/>
            </c:ext>
          </c:extLst>
        </c:ser>
        <c:dLbls>
          <c:showLegendKey val="0"/>
          <c:showVal val="0"/>
          <c:showCatName val="0"/>
          <c:showSerName val="0"/>
          <c:showPercent val="0"/>
          <c:showBubbleSize val="0"/>
        </c:dLbls>
        <c:gapWidth val="150"/>
        <c:overlap val="100"/>
        <c:axId val="1493520063"/>
        <c:axId val="52317119"/>
      </c:barChart>
      <c:lineChart>
        <c:grouping val="standard"/>
        <c:varyColors val="0"/>
        <c:ser>
          <c:idx val="0"/>
          <c:order val="0"/>
          <c:tx>
            <c:strRef>
              <c:f>'8. PODER Y PARTICIPACIÓN'!$C$21:$D$21</c:f>
              <c:strCache>
                <c:ptCount val="2"/>
                <c:pt idx="0">
                  <c:v>Total (N)</c:v>
                </c:pt>
              </c:strCache>
            </c:strRef>
          </c:tx>
          <c:spPr>
            <a:ln w="19050" cap="rnd">
              <a:solidFill>
                <a:srgbClr val="FFC000"/>
              </a:solidFill>
              <a:round/>
            </a:ln>
            <a:effectLst/>
          </c:spPr>
          <c:marker>
            <c:symbol val="circle"/>
            <c:size val="5"/>
            <c:spPr>
              <a:solidFill>
                <a:srgbClr val="FFC000"/>
              </a:solidFill>
              <a:ln w="9525">
                <a:noFill/>
              </a:ln>
              <a:effectLst/>
            </c:spPr>
          </c:marker>
          <c:cat>
            <c:numRef>
              <c:f>('8. PODER Y PARTICIPACIÓN'!$E$20,'8. PODER Y PARTICIPACIÓN'!$J$20,'8. PODER Y PARTICIPACIÓN'!$O$20,'8. PODER Y PARTICIPACIÓN'!$T$20:$X$20)</c:f>
              <c:numCache>
                <c:formatCode>General</c:formatCode>
                <c:ptCount val="8"/>
                <c:pt idx="0">
                  <c:v>2005</c:v>
                </c:pt>
                <c:pt idx="1">
                  <c:v>2010</c:v>
                </c:pt>
                <c:pt idx="2">
                  <c:v>2015</c:v>
                </c:pt>
                <c:pt idx="3">
                  <c:v>2020</c:v>
                </c:pt>
                <c:pt idx="4">
                  <c:v>2021</c:v>
                </c:pt>
                <c:pt idx="5">
                  <c:v>2022</c:v>
                </c:pt>
                <c:pt idx="6">
                  <c:v>2023</c:v>
                </c:pt>
                <c:pt idx="7">
                  <c:v>2024</c:v>
                </c:pt>
              </c:numCache>
            </c:numRef>
          </c:cat>
          <c:val>
            <c:numRef>
              <c:f>('8. PODER Y PARTICIPACIÓN'!$E$21,'8. PODER Y PARTICIPACIÓN'!$J$21,'8. PODER Y PARTICIPACIÓN'!$O$21,'8. PODER Y PARTICIPACIÓN'!$T$21,'8. PODER Y PARTICIPACIÓN'!$U$21,'8. PODER Y PARTICIPACIÓN'!$V$21,'8. PODER Y PARTICIPACIÓN'!$W$21,'8. PODER Y PARTICIPACIÓN'!$X$21)</c:f>
              <c:numCache>
                <c:formatCode>0.0</c:formatCode>
                <c:ptCount val="8"/>
                <c:pt idx="0">
                  <c:v>4.8250659809162881</c:v>
                </c:pt>
                <c:pt idx="1">
                  <c:v>6.2559049804292082</c:v>
                </c:pt>
                <c:pt idx="2">
                  <c:v>4.6878573061971185</c:v>
                </c:pt>
                <c:pt idx="3">
                  <c:v>4.673408034982236</c:v>
                </c:pt>
                <c:pt idx="4">
                  <c:v>5.3107420305384405</c:v>
                </c:pt>
                <c:pt idx="5">
                  <c:v>6.3615054043495256</c:v>
                </c:pt>
                <c:pt idx="6">
                  <c:v>5.298013245033113</c:v>
                </c:pt>
                <c:pt idx="7">
                  <c:v>4.5995515437244867</c:v>
                </c:pt>
              </c:numCache>
            </c:numRef>
          </c:val>
          <c:smooth val="0"/>
          <c:extLst xmlns:c15="http://schemas.microsoft.com/office/drawing/2012/chart">
            <c:ext xmlns:c16="http://schemas.microsoft.com/office/drawing/2014/chart" uri="{C3380CC4-5D6E-409C-BE32-E72D297353CC}">
              <c16:uniqueId val="{00000006-79CF-499A-B9CF-F381554256CB}"/>
            </c:ext>
          </c:extLst>
        </c:ser>
        <c:ser>
          <c:idx val="1"/>
          <c:order val="1"/>
          <c:tx>
            <c:strRef>
              <c:f>'8. PODER Y PARTICIPACIÓN'!$C$22:$D$22</c:f>
              <c:strCache>
                <c:ptCount val="2"/>
                <c:pt idx="0">
                  <c:v>Hombres (%)</c:v>
                </c:pt>
              </c:strCache>
            </c:strRef>
          </c:tx>
          <c:spPr>
            <a:ln w="19050" cap="rnd">
              <a:solidFill>
                <a:schemeClr val="tx1">
                  <a:lumMod val="50000"/>
                  <a:lumOff val="50000"/>
                </a:schemeClr>
              </a:solidFill>
              <a:round/>
            </a:ln>
            <a:effectLst/>
          </c:spPr>
          <c:marker>
            <c:symbol val="circle"/>
            <c:size val="5"/>
            <c:spPr>
              <a:solidFill>
                <a:schemeClr val="bg2">
                  <a:lumMod val="50000"/>
                </a:schemeClr>
              </a:solidFill>
              <a:ln w="12700" cap="flat" cmpd="sng" algn="ctr">
                <a:noFill/>
                <a:prstDash val="solid"/>
                <a:miter lim="800000"/>
              </a:ln>
              <a:effectLst/>
            </c:spPr>
          </c:marker>
          <c:cat>
            <c:numRef>
              <c:f>('8. PODER Y PARTICIPACIÓN'!$E$20,'8. PODER Y PARTICIPACIÓN'!$J$20,'8. PODER Y PARTICIPACIÓN'!$O$20,'8. PODER Y PARTICIPACIÓN'!$T$20:$X$20)</c:f>
              <c:numCache>
                <c:formatCode>General</c:formatCode>
                <c:ptCount val="8"/>
                <c:pt idx="0">
                  <c:v>2005</c:v>
                </c:pt>
                <c:pt idx="1">
                  <c:v>2010</c:v>
                </c:pt>
                <c:pt idx="2">
                  <c:v>2015</c:v>
                </c:pt>
                <c:pt idx="3">
                  <c:v>2020</c:v>
                </c:pt>
                <c:pt idx="4">
                  <c:v>2021</c:v>
                </c:pt>
                <c:pt idx="5">
                  <c:v>2022</c:v>
                </c:pt>
                <c:pt idx="6">
                  <c:v>2023</c:v>
                </c:pt>
                <c:pt idx="7">
                  <c:v>2024</c:v>
                </c:pt>
              </c:numCache>
            </c:numRef>
          </c:cat>
          <c:val>
            <c:numRef>
              <c:f>('8. PODER Y PARTICIPACIÓN'!$E$22,'8. PODER Y PARTICIPACIÓN'!$J$22,'8. PODER Y PARTICIPACIÓN'!$O$22,'8. PODER Y PARTICIPACIÓN'!$T$22,'8. PODER Y PARTICIPACIÓN'!$U$22,'8. PODER Y PARTICIPACIÓN'!$V$22,'8. PODER Y PARTICIPACIÓN'!$W$22,'8. PODER Y PARTICIPACIÓN'!$X$22)</c:f>
              <c:numCache>
                <c:formatCode>0.0</c:formatCode>
                <c:ptCount val="8"/>
                <c:pt idx="0">
                  <c:v>6.3286313381624089</c:v>
                </c:pt>
                <c:pt idx="1">
                  <c:v>7.6993824727368283</c:v>
                </c:pt>
                <c:pt idx="2">
                  <c:v>6.4084616581116816</c:v>
                </c:pt>
                <c:pt idx="3">
                  <c:v>5.3614619725880139</c:v>
                </c:pt>
                <c:pt idx="4">
                  <c:v>6.8533333333333335</c:v>
                </c:pt>
                <c:pt idx="5">
                  <c:v>7.5381318542795919</c:v>
                </c:pt>
                <c:pt idx="6">
                  <c:v>6.5589818893783649</c:v>
                </c:pt>
                <c:pt idx="7">
                  <c:v>5.7985991503042831</c:v>
                </c:pt>
              </c:numCache>
            </c:numRef>
          </c:val>
          <c:smooth val="0"/>
          <c:extLst>
            <c:ext xmlns:c16="http://schemas.microsoft.com/office/drawing/2014/chart" uri="{C3380CC4-5D6E-409C-BE32-E72D297353CC}">
              <c16:uniqueId val="{00000007-79CF-499A-B9CF-F381554256CB}"/>
            </c:ext>
          </c:extLst>
        </c:ser>
        <c:ser>
          <c:idx val="2"/>
          <c:order val="2"/>
          <c:tx>
            <c:strRef>
              <c:f>'8. PODER Y PARTICIPACIÓN'!$C$28:$D$28</c:f>
              <c:strCache>
                <c:ptCount val="2"/>
                <c:pt idx="0">
                  <c:v>Mujeres (%)</c:v>
                </c:pt>
              </c:strCache>
            </c:strRef>
          </c:tx>
          <c:spPr>
            <a:ln w="19050" cap="flat" cmpd="sng" algn="ctr">
              <a:solidFill>
                <a:srgbClr val="960000"/>
              </a:solidFill>
              <a:prstDash val="solid"/>
              <a:miter lim="800000"/>
            </a:ln>
            <a:effectLst/>
          </c:spPr>
          <c:marker>
            <c:symbol val="circle"/>
            <c:size val="5"/>
            <c:spPr>
              <a:solidFill>
                <a:srgbClr val="C00000"/>
              </a:solidFill>
              <a:ln w="12700" cap="flat" cmpd="sng" algn="ctr">
                <a:noFill/>
                <a:prstDash val="solid"/>
                <a:miter lim="800000"/>
              </a:ln>
              <a:effectLst/>
            </c:spPr>
          </c:marker>
          <c:cat>
            <c:numRef>
              <c:f>('8. PODER Y PARTICIPACIÓN'!$E$20,'8. PODER Y PARTICIPACIÓN'!$J$20,'8. PODER Y PARTICIPACIÓN'!$O$20,'8. PODER Y PARTICIPACIÓN'!$T$20:$X$20)</c:f>
              <c:numCache>
                <c:formatCode>General</c:formatCode>
                <c:ptCount val="8"/>
                <c:pt idx="0">
                  <c:v>2005</c:v>
                </c:pt>
                <c:pt idx="1">
                  <c:v>2010</c:v>
                </c:pt>
                <c:pt idx="2">
                  <c:v>2015</c:v>
                </c:pt>
                <c:pt idx="3">
                  <c:v>2020</c:v>
                </c:pt>
                <c:pt idx="4">
                  <c:v>2021</c:v>
                </c:pt>
                <c:pt idx="5">
                  <c:v>2022</c:v>
                </c:pt>
                <c:pt idx="6">
                  <c:v>2023</c:v>
                </c:pt>
                <c:pt idx="7">
                  <c:v>2024</c:v>
                </c:pt>
              </c:numCache>
            </c:numRef>
          </c:cat>
          <c:val>
            <c:numRef>
              <c:f>('8. PODER Y PARTICIPACIÓN'!$E$23,'8. PODER Y PARTICIPACIÓN'!$J$23,'8. PODER Y PARTICIPACIÓN'!$O$23,'8. PODER Y PARTICIPACIÓN'!$T$23,'8. PODER Y PARTICIPACIÓN'!$U$23,'8. PODER Y PARTICIPACIÓN'!$V$23,'8. PODER Y PARTICIPACIÓN'!$W$23,'8. PODER Y PARTICIPACIÓN'!$X$23)</c:f>
              <c:numCache>
                <c:formatCode>0.0</c:formatCode>
                <c:ptCount val="8"/>
                <c:pt idx="0">
                  <c:v>3.1127841320399594</c:v>
                </c:pt>
                <c:pt idx="1">
                  <c:v>4.716981132075472</c:v>
                </c:pt>
                <c:pt idx="2">
                  <c:v>3.0194319880418532</c:v>
                </c:pt>
                <c:pt idx="3">
                  <c:v>3.96163469557965</c:v>
                </c:pt>
                <c:pt idx="4">
                  <c:v>3.767491926803014</c:v>
                </c:pt>
                <c:pt idx="5">
                  <c:v>5.1043771043771047</c:v>
                </c:pt>
                <c:pt idx="6">
                  <c:v>4.030969644832247</c:v>
                </c:pt>
                <c:pt idx="7">
                  <c:v>3.3966609096142775</c:v>
                </c:pt>
              </c:numCache>
            </c:numRef>
          </c:val>
          <c:smooth val="0"/>
          <c:extLst>
            <c:ext xmlns:c16="http://schemas.microsoft.com/office/drawing/2014/chart" uri="{C3380CC4-5D6E-409C-BE32-E72D297353CC}">
              <c16:uniqueId val="{00000005-79CF-499A-B9CF-F381554256CB}"/>
            </c:ext>
          </c:extLst>
        </c:ser>
        <c:dLbls>
          <c:showLegendKey val="0"/>
          <c:showVal val="0"/>
          <c:showCatName val="0"/>
          <c:showSerName val="0"/>
          <c:showPercent val="0"/>
          <c:showBubbleSize val="0"/>
        </c:dLbls>
        <c:marker val="1"/>
        <c:smooth val="0"/>
        <c:axId val="1493520063"/>
        <c:axId val="52317119"/>
        <c:extLst/>
      </c:lineChart>
      <c:catAx>
        <c:axId val="1493520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317119"/>
        <c:crosses val="autoZero"/>
        <c:auto val="1"/>
        <c:lblAlgn val="ctr"/>
        <c:lblOffset val="100"/>
        <c:noMultiLvlLbl val="0"/>
      </c:catAx>
      <c:valAx>
        <c:axId val="52317119"/>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9352006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legend>
      <c:legendPos val="b"/>
      <c:layout>
        <c:manualLayout>
          <c:xMode val="edge"/>
          <c:yMode val="edge"/>
          <c:x val="0.39035713981296477"/>
          <c:y val="0.92544710913541717"/>
          <c:w val="0.60618271210829267"/>
          <c:h val="7.038212732585748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8.4 Porcentaje de población de la ciudad de Madrid que pertenece a alguna asociación o entidad</a:t>
            </a:r>
          </a:p>
        </c:rich>
      </c:tx>
      <c:layout>
        <c:manualLayout>
          <c:xMode val="edge"/>
          <c:yMode val="edge"/>
          <c:x val="0.12797758113891469"/>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'8. PODER Y PARTICIPACIÓN'!$C$29:$D$29</c:f>
              <c:strCache>
                <c:ptCount val="2"/>
                <c:pt idx="0">
                  <c:v>Brecha (punt.porc.)</c:v>
                </c:pt>
              </c:strCache>
            </c:strRef>
          </c:tx>
          <c:spPr>
            <a:solidFill>
              <a:srgbClr val="FF8989">
                <a:alpha val="80000"/>
              </a:srgbClr>
            </a:solidFill>
            <a:ln>
              <a:solidFill>
                <a:srgbClr val="FF898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'8. PODER Y PARTICIPACIÓN'!$P$25:$V$25</c15:sqref>
                  </c15:fullRef>
                </c:ext>
              </c:extLst>
              <c:f>('8. PODER Y PARTICIPACIÓN'!$P$25:$Q$25,'8. PODER Y PARTICIPACIÓN'!$S$25,'8. PODER Y PARTICIPACIÓN'!$V$25)</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PARTICIPACIÓN'!$P$29:$V$29</c15:sqref>
                  </c15:fullRef>
                </c:ext>
              </c:extLst>
              <c:f>('8. PODER Y PARTICIPACIÓN'!$P$29:$Q$29,'8. PODER Y PARTICIPACIÓN'!$S$29,'8. PODER Y PARTICIPACIÓN'!$V$29)</c:f>
              <c:numCache>
                <c:formatCode>0.0</c:formatCode>
                <c:ptCount val="4"/>
                <c:pt idx="0">
                  <c:v>-1.9000000000000021</c:v>
                </c:pt>
                <c:pt idx="1">
                  <c:v>-2.3999999999999986</c:v>
                </c:pt>
                <c:pt idx="2">
                  <c:v>-3.7000000000000011</c:v>
                </c:pt>
                <c:pt idx="3">
                  <c:v>-1.3000000000000007</c:v>
                </c:pt>
              </c:numCache>
            </c:numRef>
          </c:val>
          <c:extLst>
            <c:ext xmlns:c16="http://schemas.microsoft.com/office/drawing/2014/chart" uri="{C3380CC4-5D6E-409C-BE32-E72D297353CC}">
              <c16:uniqueId val="{00000003-66DC-4499-BB12-062EFD72EA0F}"/>
            </c:ext>
          </c:extLst>
        </c:ser>
        <c:dLbls>
          <c:showLegendKey val="0"/>
          <c:showVal val="0"/>
          <c:showCatName val="0"/>
          <c:showSerName val="0"/>
          <c:showPercent val="0"/>
          <c:showBubbleSize val="0"/>
        </c:dLbls>
        <c:gapWidth val="219"/>
        <c:axId val="158062511"/>
        <c:axId val="1500577887"/>
      </c:barChart>
      <c:lineChart>
        <c:grouping val="standard"/>
        <c:varyColors val="0"/>
        <c:ser>
          <c:idx val="0"/>
          <c:order val="0"/>
          <c:tx>
            <c:strRef>
              <c:f>'8. PODER Y PARTICIPACIÓN'!$C$27:$D$27</c:f>
              <c:strCache>
                <c:ptCount val="2"/>
                <c:pt idx="0">
                  <c:v>Hombres (%)</c:v>
                </c:pt>
              </c:strCache>
            </c:strRef>
          </c:tx>
          <c:spPr>
            <a:ln w="1270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noFill/>
                <a:prstDash val="solid"/>
                <a:miter lim="800000"/>
              </a:ln>
              <a:effectLst/>
            </c:spPr>
          </c:marker>
          <c:cat>
            <c:numRef>
              <c:extLst>
                <c:ext xmlns:c15="http://schemas.microsoft.com/office/drawing/2012/chart" uri="{02D57815-91ED-43cb-92C2-25804820EDAC}">
                  <c15:fullRef>
                    <c15:sqref>'8. PODER Y PARTICIPACIÓN'!$P$25:$V$25</c15:sqref>
                  </c15:fullRef>
                </c:ext>
              </c:extLst>
              <c:f>('8. PODER Y PARTICIPACIÓN'!$P$25:$Q$25,'8. PODER Y PARTICIPACIÓN'!$S$25,'8. PODER Y PARTICIPACIÓN'!$V$25)</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PARTICIPACIÓN'!$P$27:$V$27</c15:sqref>
                  </c15:fullRef>
                </c:ext>
              </c:extLst>
              <c:f>('8. PODER Y PARTICIPACIÓN'!$P$27:$Q$27,'8. PODER Y PARTICIPACIÓN'!$S$27,'8. PODER Y PARTICIPACIÓN'!$V$27)</c:f>
              <c:numCache>
                <c:formatCode>General</c:formatCode>
                <c:ptCount val="4"/>
                <c:pt idx="0">
                  <c:v>17.100000000000001</c:v>
                </c:pt>
                <c:pt idx="1">
                  <c:v>14.7</c:v>
                </c:pt>
                <c:pt idx="2">
                  <c:v>16.8</c:v>
                </c:pt>
                <c:pt idx="3">
                  <c:v>22.1</c:v>
                </c:pt>
              </c:numCache>
            </c:numRef>
          </c:val>
          <c:smooth val="0"/>
          <c:extLst>
            <c:ext xmlns:c16="http://schemas.microsoft.com/office/drawing/2014/chart" uri="{C3380CC4-5D6E-409C-BE32-E72D297353CC}">
              <c16:uniqueId val="{00000004-66DC-4499-BB12-062EFD72EA0F}"/>
            </c:ext>
          </c:extLst>
        </c:ser>
        <c:ser>
          <c:idx val="1"/>
          <c:order val="1"/>
          <c:tx>
            <c:strRef>
              <c:f>'8. PODER Y PARTICIPACIÓN'!$C$28:$D$28</c:f>
              <c:strCache>
                <c:ptCount val="2"/>
                <c:pt idx="0">
                  <c:v>Mujeres (%)</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numRef>
              <c:extLst>
                <c:ext xmlns:c15="http://schemas.microsoft.com/office/drawing/2012/chart" uri="{02D57815-91ED-43cb-92C2-25804820EDAC}">
                  <c15:fullRef>
                    <c15:sqref>'8. PODER Y PARTICIPACIÓN'!$P$25:$V$25</c15:sqref>
                  </c15:fullRef>
                </c:ext>
              </c:extLst>
              <c:f>('8. PODER Y PARTICIPACIÓN'!$P$25:$Q$25,'8. PODER Y PARTICIPACIÓN'!$S$25,'8. PODER Y PARTICIPACIÓN'!$V$25)</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PARTICIPACIÓN'!$P$28:$V$28</c15:sqref>
                  </c15:fullRef>
                </c:ext>
              </c:extLst>
              <c:f>('8. PODER Y PARTICIPACIÓN'!$P$28:$Q$28,'8. PODER Y PARTICIPACIÓN'!$S$28,'8. PODER Y PARTICIPACIÓN'!$V$28)</c:f>
              <c:numCache>
                <c:formatCode>General</c:formatCode>
                <c:ptCount val="4"/>
                <c:pt idx="0">
                  <c:v>15.2</c:v>
                </c:pt>
                <c:pt idx="1">
                  <c:v>12.3</c:v>
                </c:pt>
                <c:pt idx="2">
                  <c:v>13.1</c:v>
                </c:pt>
                <c:pt idx="3">
                  <c:v>19.3</c:v>
                </c:pt>
              </c:numCache>
            </c:numRef>
          </c:val>
          <c:smooth val="0"/>
          <c:extLst>
            <c:ext xmlns:c16="http://schemas.microsoft.com/office/drawing/2014/chart" uri="{C3380CC4-5D6E-409C-BE32-E72D297353CC}">
              <c16:uniqueId val="{00000005-66DC-4499-BB12-062EFD72EA0F}"/>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8.5 Porcentaje de población de la ciudad de Madrid que indica que tiene interés en participar en asuntos municipales</a:t>
            </a:r>
          </a:p>
        </c:rich>
      </c:tx>
      <c:layout>
        <c:manualLayout>
          <c:xMode val="edge"/>
          <c:yMode val="edge"/>
          <c:x val="0.11392690972222225"/>
          <c:y val="2.3706355391506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'8. PODER Y PARTICIPACIÓN'!$C$34:$D$34</c:f>
              <c:strCache>
                <c:ptCount val="2"/>
                <c:pt idx="0">
                  <c:v>Brecha (punt.porc.)</c:v>
                </c:pt>
              </c:strCache>
            </c:strRef>
          </c:tx>
          <c:spPr>
            <a:solidFill>
              <a:srgbClr val="FF8989">
                <a:alpha val="80000"/>
              </a:srgbClr>
            </a:solidFill>
            <a:ln>
              <a:noFill/>
            </a:ln>
            <a:effectLst/>
          </c:spPr>
          <c:invertIfNegative val="0"/>
          <c:dLbls>
            <c:dLbl>
              <c:idx val="0"/>
              <c:layout>
                <c:manualLayout>
                  <c:x val="0"/>
                  <c:y val="1.25782924423280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DE-4766-9334-A22D0E414509}"/>
                </c:ext>
              </c:extLst>
            </c:dLbl>
            <c:dLbl>
              <c:idx val="1"/>
              <c:layout>
                <c:manualLayout>
                  <c:x val="0"/>
                  <c:y val="2.0964150876122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28-4515-9F22-82E5143B228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'8. PODER Y PARTICIPACIÓN'!$P$30:$V$30</c15:sqref>
                  </c15:fullRef>
                </c:ext>
              </c:extLst>
              <c:f>('8. PODER Y PARTICIPACIÓN'!$P$30:$Q$30,'8. PODER Y PARTICIPACIÓN'!$S$30,'8. PODER Y PARTICIPACIÓN'!$V$30)</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PARTICIPACIÓN'!$P$34:$V$34</c15:sqref>
                  </c15:fullRef>
                </c:ext>
              </c:extLst>
              <c:f>('8. PODER Y PARTICIPACIÓN'!$P$34:$Q$34,'8. PODER Y PARTICIPACIÓN'!$S$34,'8. PODER Y PARTICIPACIÓN'!$V$34)</c:f>
              <c:numCache>
                <c:formatCode>0.0</c:formatCode>
                <c:ptCount val="4"/>
                <c:pt idx="0">
                  <c:v>-3.0999999999999979</c:v>
                </c:pt>
                <c:pt idx="1">
                  <c:v>-5.4000000000000021</c:v>
                </c:pt>
                <c:pt idx="2">
                  <c:v>-3.1000000000000014</c:v>
                </c:pt>
                <c:pt idx="3">
                  <c:v>-5.2000000000000028</c:v>
                </c:pt>
              </c:numCache>
            </c:numRef>
          </c:val>
          <c:extLst>
            <c:ext xmlns:c16="http://schemas.microsoft.com/office/drawing/2014/chart" uri="{C3380CC4-5D6E-409C-BE32-E72D297353CC}">
              <c16:uniqueId val="{00000003-8228-4515-9F22-82E5143B2280}"/>
            </c:ext>
          </c:extLst>
        </c:ser>
        <c:dLbls>
          <c:showLegendKey val="0"/>
          <c:showVal val="0"/>
          <c:showCatName val="0"/>
          <c:showSerName val="0"/>
          <c:showPercent val="0"/>
          <c:showBubbleSize val="0"/>
        </c:dLbls>
        <c:gapWidth val="200"/>
        <c:axId val="159301887"/>
        <c:axId val="55134399"/>
      </c:barChart>
      <c:lineChart>
        <c:grouping val="standard"/>
        <c:varyColors val="0"/>
        <c:ser>
          <c:idx val="0"/>
          <c:order val="0"/>
          <c:tx>
            <c:strRef>
              <c:f>'8. PODER Y PARTICIPACIÓN'!$C$32:$D$32</c:f>
              <c:strCache>
                <c:ptCount val="2"/>
                <c:pt idx="0">
                  <c:v>Hombres (%)</c:v>
                </c:pt>
              </c:strCache>
            </c:strRef>
          </c:tx>
          <c:spPr>
            <a:ln w="1270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noFill/>
                <a:prstDash val="solid"/>
                <a:miter lim="800000"/>
              </a:ln>
              <a:effectLst/>
            </c:spPr>
          </c:marker>
          <c:cat>
            <c:numRef>
              <c:extLst>
                <c:ext xmlns:c15="http://schemas.microsoft.com/office/drawing/2012/chart" uri="{02D57815-91ED-43cb-92C2-25804820EDAC}">
                  <c15:fullRef>
                    <c15:sqref>'8. PODER Y PARTICIPACIÓN'!$P$30:$V$30</c15:sqref>
                  </c15:fullRef>
                </c:ext>
              </c:extLst>
              <c:f>('8. PODER Y PARTICIPACIÓN'!$P$30:$Q$30,'8. PODER Y PARTICIPACIÓN'!$S$30,'8. PODER Y PARTICIPACIÓN'!$V$30)</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PARTICIPACIÓN'!$P$32:$V$32</c15:sqref>
                  </c15:fullRef>
                </c:ext>
              </c:extLst>
              <c:f>('8. PODER Y PARTICIPACIÓN'!$P$32:$Q$32,'8. PODER Y PARTICIPACIÓN'!$S$32,'8. PODER Y PARTICIPACIÓN'!$V$32)</c:f>
              <c:numCache>
                <c:formatCode>General</c:formatCode>
                <c:ptCount val="4"/>
                <c:pt idx="0">
                  <c:v>24.2</c:v>
                </c:pt>
                <c:pt idx="1">
                  <c:v>26.6</c:v>
                </c:pt>
                <c:pt idx="2">
                  <c:v>20.100000000000001</c:v>
                </c:pt>
                <c:pt idx="3">
                  <c:v>45.2</c:v>
                </c:pt>
              </c:numCache>
            </c:numRef>
          </c:val>
          <c:smooth val="0"/>
          <c:extLst>
            <c:ext xmlns:c16="http://schemas.microsoft.com/office/drawing/2014/chart" uri="{C3380CC4-5D6E-409C-BE32-E72D297353CC}">
              <c16:uniqueId val="{00000004-8228-4515-9F22-82E5143B2280}"/>
            </c:ext>
          </c:extLst>
        </c:ser>
        <c:ser>
          <c:idx val="1"/>
          <c:order val="1"/>
          <c:tx>
            <c:strRef>
              <c:f>'8. PODER Y PARTICIPACIÓN'!$C$33:$D$33</c:f>
              <c:strCache>
                <c:ptCount val="2"/>
                <c:pt idx="0">
                  <c:v>Mujeres (%)</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cat>
            <c:numRef>
              <c:extLst>
                <c:ext xmlns:c15="http://schemas.microsoft.com/office/drawing/2012/chart" uri="{02D57815-91ED-43cb-92C2-25804820EDAC}">
                  <c15:fullRef>
                    <c15:sqref>'8. PODER Y PARTICIPACIÓN'!$P$30:$V$30</c15:sqref>
                  </c15:fullRef>
                </c:ext>
              </c:extLst>
              <c:f>('8. PODER Y PARTICIPACIÓN'!$P$30:$Q$30,'8. PODER Y PARTICIPACIÓN'!$S$30,'8. PODER Y PARTICIPACIÓN'!$V$30)</c:f>
              <c:numCache>
                <c:formatCode>General</c:formatCode>
                <c:ptCount val="4"/>
                <c:pt idx="0">
                  <c:v>2016</c:v>
                </c:pt>
                <c:pt idx="1">
                  <c:v>2017</c:v>
                </c:pt>
                <c:pt idx="2">
                  <c:v>2019</c:v>
                </c:pt>
                <c:pt idx="3">
                  <c:v>2022</c:v>
                </c:pt>
              </c:numCache>
            </c:numRef>
          </c:cat>
          <c:val>
            <c:numRef>
              <c:extLst>
                <c:ext xmlns:c15="http://schemas.microsoft.com/office/drawing/2012/chart" uri="{02D57815-91ED-43cb-92C2-25804820EDAC}">
                  <c15:fullRef>
                    <c15:sqref>'8. PODER Y PARTICIPACIÓN'!$P$33:$V$33</c15:sqref>
                  </c15:fullRef>
                </c:ext>
              </c:extLst>
              <c:f>('8. PODER Y PARTICIPACIÓN'!$P$33:$Q$33,'8. PODER Y PARTICIPACIÓN'!$S$33,'8. PODER Y PARTICIPACIÓN'!$V$33)</c:f>
              <c:numCache>
                <c:formatCode>General</c:formatCode>
                <c:ptCount val="4"/>
                <c:pt idx="0">
                  <c:v>21.1</c:v>
                </c:pt>
                <c:pt idx="1">
                  <c:v>21.2</c:v>
                </c:pt>
                <c:pt idx="2" formatCode="0.0">
                  <c:v>17</c:v>
                </c:pt>
                <c:pt idx="3" formatCode="0.0">
                  <c:v>40</c:v>
                </c:pt>
              </c:numCache>
            </c:numRef>
          </c:val>
          <c:smooth val="0"/>
          <c:extLst>
            <c:ext xmlns:c16="http://schemas.microsoft.com/office/drawing/2014/chart" uri="{C3380CC4-5D6E-409C-BE32-E72D297353CC}">
              <c16:uniqueId val="{00000005-8228-4515-9F22-82E5143B2280}"/>
            </c:ext>
          </c:extLst>
        </c:ser>
        <c:dLbls>
          <c:showLegendKey val="0"/>
          <c:showVal val="0"/>
          <c:showCatName val="0"/>
          <c:showSerName val="0"/>
          <c:showPercent val="0"/>
          <c:showBubbleSize val="0"/>
        </c:dLbls>
        <c:marker val="1"/>
        <c:smooth val="0"/>
        <c:axId val="159301887"/>
        <c:axId val="55134399"/>
      </c:lineChart>
      <c:catAx>
        <c:axId val="159301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134399"/>
        <c:crosses val="autoZero"/>
        <c:auto val="1"/>
        <c:lblAlgn val="ctr"/>
        <c:lblOffset val="100"/>
        <c:noMultiLvlLbl val="0"/>
      </c:catAx>
      <c:valAx>
        <c:axId val="55134399"/>
        <c:scaling>
          <c:orientation val="minMax"/>
          <c:min val="-2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9301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8.7 Porcentaje de asociaciones de mujeres (%)</a:t>
            </a:r>
          </a:p>
        </c:rich>
      </c:tx>
      <c:layout>
        <c:manualLayout>
          <c:xMode val="edge"/>
          <c:yMode val="edge"/>
          <c:x val="0.27702641450112009"/>
          <c:y val="2.487825327237181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'8. PODER Y PARTICIPACIÓN'!$C$44:$D$44</c:f>
              <c:strCache>
                <c:ptCount val="2"/>
                <c:pt idx="0">
                  <c:v>Porcentaje asociaciones de mujeres (%)</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solidFill>
                  <a:srgbClr val="C00000"/>
                </a:solidFill>
                <a:prstDash val="solid"/>
                <a:miter lim="800000"/>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('8. PODER Y PARTICIPACIÓN'!$F$41,'8. PODER Y PARTICIPACIÓN'!$J$41,'8. PODER Y PARTICIPACIÓN'!$O$41,'8. PODER Y PARTICIPACIÓN'!$R$41,'8. PODER Y PARTICIPACIÓN'!$S$41,'8. PODER Y PARTICIPACIÓN'!$T$41,'8. PODER Y PARTICIPACIÓN'!$W$41)</c15:sqref>
                  </c15:fullRef>
                </c:ext>
              </c:extLst>
              <c:f>('8. PODER Y PARTICIPACIÓN'!$S$41,'8. PODER Y PARTICIPACIÓN'!$T$41,'8. PODER Y PARTICIPACIÓN'!$W$41)</c:f>
              <c:numCache>
                <c:formatCode>General</c:formatCode>
                <c:ptCount val="3"/>
                <c:pt idx="0">
                  <c:v>2019</c:v>
                </c:pt>
                <c:pt idx="1">
                  <c:v>2020</c:v>
                </c:pt>
                <c:pt idx="2">
                  <c:v>2023</c:v>
                </c:pt>
              </c:numCache>
            </c:numRef>
          </c:cat>
          <c:val>
            <c:numRef>
              <c:extLst>
                <c:ext xmlns:c15="http://schemas.microsoft.com/office/drawing/2012/chart" uri="{02D57815-91ED-43cb-92C2-25804820EDAC}">
                  <c15:fullRef>
                    <c15:sqref>('8. PODER Y PARTICIPACIÓN'!$F$44,'8. PODER Y PARTICIPACIÓN'!$J$44,'8. PODER Y PARTICIPACIÓN'!$O$44,'8. PODER Y PARTICIPACIÓN'!$R$44,'8. PODER Y PARTICIPACIÓN'!$S$44,'8. PODER Y PARTICIPACIÓN'!$T$44,'8. PODER Y PARTICIPACIÓN'!$W$44)</c15:sqref>
                  </c15:fullRef>
                </c:ext>
              </c:extLst>
              <c:f>('8. PODER Y PARTICIPACIÓN'!$S$44,'8. PODER Y PARTICIPACIÓN'!$T$44,'8. PODER Y PARTICIPACIÓN'!$W$44)</c:f>
              <c:numCache>
                <c:formatCode>0.0</c:formatCode>
                <c:ptCount val="3"/>
                <c:pt idx="0">
                  <c:v>3.1467102574581123</c:v>
                </c:pt>
                <c:pt idx="1">
                  <c:v>3.3164260632071794</c:v>
                </c:pt>
                <c:pt idx="2">
                  <c:v>3.2721202003338896</c:v>
                </c:pt>
              </c:numCache>
            </c:numRef>
          </c:val>
          <c:smooth val="0"/>
          <c:extLst>
            <c:ext xmlns:c16="http://schemas.microsoft.com/office/drawing/2014/chart" uri="{C3380CC4-5D6E-409C-BE32-E72D297353CC}">
              <c16:uniqueId val="{00000000-8FAF-41D5-ACE4-60B9F01D8CD7}"/>
            </c:ext>
          </c:extLst>
        </c:ser>
        <c:dLbls>
          <c:showLegendKey val="0"/>
          <c:showVal val="0"/>
          <c:showCatName val="0"/>
          <c:showSerName val="0"/>
          <c:showPercent val="0"/>
          <c:showBubbleSize val="0"/>
        </c:dLbls>
        <c:marker val="1"/>
        <c:smooth val="0"/>
        <c:axId val="1589586031"/>
        <c:axId val="208011503"/>
      </c:lineChart>
      <c:catAx>
        <c:axId val="158958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011503"/>
        <c:crosses val="autoZero"/>
        <c:auto val="1"/>
        <c:lblAlgn val="ctr"/>
        <c:lblOffset val="100"/>
        <c:noMultiLvlLbl val="0"/>
      </c:catAx>
      <c:valAx>
        <c:axId val="208011503"/>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95860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8.8 Solicitudes de acceso a la información pública</a:t>
            </a:r>
          </a:p>
        </c:rich>
      </c:tx>
      <c:layout>
        <c:manualLayout>
          <c:xMode val="edge"/>
          <c:yMode val="edge"/>
          <c:x val="0.24255560415617855"/>
          <c:y val="3.24072009048731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3"/>
          <c:order val="3"/>
          <c:tx>
            <c:strRef>
              <c:f>'8. PODER Y PARTICIPACIÓN'!$C$50:$D$50</c:f>
              <c:strCache>
                <c:ptCount val="2"/>
                <c:pt idx="0">
                  <c:v>Brecha (N)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PARTICIPACIÓN'!$V$45:$X$45</c:f>
              <c:numCache>
                <c:formatCode>General</c:formatCode>
                <c:ptCount val="3"/>
                <c:pt idx="0">
                  <c:v>2022</c:v>
                </c:pt>
                <c:pt idx="1">
                  <c:v>2023</c:v>
                </c:pt>
                <c:pt idx="2">
                  <c:v>2024</c:v>
                </c:pt>
              </c:numCache>
            </c:numRef>
          </c:cat>
          <c:val>
            <c:numRef>
              <c:f>'8. PODER Y PARTICIPACIÓN'!$V$50:$X$50</c:f>
              <c:numCache>
                <c:formatCode>_-* #,##0_-;\-* #,##0_-;_-* "-"??_-;_-@_-</c:formatCode>
                <c:ptCount val="3"/>
                <c:pt idx="0">
                  <c:v>-175</c:v>
                </c:pt>
                <c:pt idx="1">
                  <c:v>-276</c:v>
                </c:pt>
                <c:pt idx="2">
                  <c:v>-389</c:v>
                </c:pt>
              </c:numCache>
            </c:numRef>
          </c:val>
          <c:extLst>
            <c:ext xmlns:c16="http://schemas.microsoft.com/office/drawing/2014/chart" uri="{C3380CC4-5D6E-409C-BE32-E72D297353CC}">
              <c16:uniqueId val="{00000000-1F57-4413-922B-2C12D368F5F0}"/>
            </c:ext>
          </c:extLst>
        </c:ser>
        <c:dLbls>
          <c:showLegendKey val="0"/>
          <c:showVal val="0"/>
          <c:showCatName val="0"/>
          <c:showSerName val="0"/>
          <c:showPercent val="0"/>
          <c:showBubbleSize val="0"/>
        </c:dLbls>
        <c:gapWidth val="200"/>
        <c:axId val="159301887"/>
        <c:axId val="55134399"/>
      </c:barChart>
      <c:lineChart>
        <c:grouping val="standard"/>
        <c:varyColors val="0"/>
        <c:ser>
          <c:idx val="0"/>
          <c:order val="0"/>
          <c:tx>
            <c:strRef>
              <c:f>'8. PODER Y PARTICIPACIÓN'!$C$47:$D$47</c:f>
              <c:strCache>
                <c:ptCount val="2"/>
                <c:pt idx="0">
                  <c:v>Hombres (N)</c:v>
                </c:pt>
              </c:strCache>
            </c:strRef>
          </c:tx>
          <c:spPr>
            <a:ln w="1270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noFill/>
                <a:prstDash val="solid"/>
                <a:miter lim="800000"/>
              </a:ln>
              <a:effectLst/>
            </c:spPr>
          </c:marker>
          <c:val>
            <c:numRef>
              <c:f>'8. PODER Y PARTICIPACIÓN'!$V$47:$X$47</c:f>
              <c:numCache>
                <c:formatCode>_-* #,##0_-;\-* #,##0_-;_-* "-"??_-;_-@_-</c:formatCode>
                <c:ptCount val="3"/>
                <c:pt idx="0">
                  <c:v>487</c:v>
                </c:pt>
                <c:pt idx="1">
                  <c:v>629</c:v>
                </c:pt>
                <c:pt idx="2">
                  <c:v>929</c:v>
                </c:pt>
              </c:numCache>
            </c:numRef>
          </c:val>
          <c:smooth val="0"/>
          <c:extLst>
            <c:ext xmlns:c16="http://schemas.microsoft.com/office/drawing/2014/chart" uri="{C3380CC4-5D6E-409C-BE32-E72D297353CC}">
              <c16:uniqueId val="{00000003-8AC9-4D69-8512-CFC2B6C9455E}"/>
            </c:ext>
          </c:extLst>
        </c:ser>
        <c:ser>
          <c:idx val="1"/>
          <c:order val="1"/>
          <c:tx>
            <c:strRef>
              <c:f>'8. PODER Y PARTICIPACIÓN'!$C$48:$D$48</c:f>
              <c:strCache>
                <c:ptCount val="2"/>
                <c:pt idx="0">
                  <c:v>Mujeres (N)</c:v>
                </c:pt>
              </c:strCache>
            </c:strRef>
          </c:tx>
          <c:spPr>
            <a:ln w="12700" cap="flat" cmpd="sng" algn="ctr">
              <a:solidFill>
                <a:srgbClr val="C00000"/>
              </a:solidFill>
              <a:prstDash val="solid"/>
              <a:miter lim="800000"/>
            </a:ln>
            <a:effectLst/>
          </c:spPr>
          <c:marker>
            <c:symbol val="circle"/>
            <c:size val="5"/>
            <c:spPr>
              <a:solidFill>
                <a:srgbClr val="C00000"/>
              </a:solidFill>
              <a:ln w="12700" cap="flat" cmpd="sng" algn="ctr">
                <a:noFill/>
                <a:prstDash val="solid"/>
                <a:miter lim="800000"/>
              </a:ln>
              <a:effectLst/>
            </c:spPr>
          </c:marker>
          <c:val>
            <c:numRef>
              <c:f>'8. PODER Y PARTICIPACIÓN'!$V$48:$X$48</c:f>
              <c:numCache>
                <c:formatCode>_-* #,##0_-;\-* #,##0_-;_-* "-"??_-;_-@_-</c:formatCode>
                <c:ptCount val="3"/>
                <c:pt idx="0">
                  <c:v>312</c:v>
                </c:pt>
                <c:pt idx="1">
                  <c:v>353</c:v>
                </c:pt>
                <c:pt idx="2">
                  <c:v>540</c:v>
                </c:pt>
              </c:numCache>
            </c:numRef>
          </c:val>
          <c:smooth val="0"/>
          <c:extLst>
            <c:ext xmlns:c16="http://schemas.microsoft.com/office/drawing/2014/chart" uri="{C3380CC4-5D6E-409C-BE32-E72D297353CC}">
              <c16:uniqueId val="{00000004-8AC9-4D69-8512-CFC2B6C9455E}"/>
            </c:ext>
          </c:extLst>
        </c:ser>
        <c:ser>
          <c:idx val="2"/>
          <c:order val="2"/>
          <c:tx>
            <c:strRef>
              <c:f>'8. PODER Y PARTICIPACIÓN'!$C$49:$D$49</c:f>
              <c:strCache>
                <c:ptCount val="2"/>
                <c:pt idx="0">
                  <c:v>No consta sexo (N)</c:v>
                </c:pt>
              </c:strCache>
            </c:strRef>
          </c:tx>
          <c:spPr>
            <a:ln w="12700" cap="flat" cmpd="sng" algn="ctr">
              <a:solidFill>
                <a:schemeClr val="accent4"/>
              </a:solidFill>
              <a:prstDash val="solid"/>
              <a:miter lim="800000"/>
            </a:ln>
            <a:effectLst/>
          </c:spPr>
          <c:marker>
            <c:symbol val="circle"/>
            <c:size val="5"/>
            <c:spPr>
              <a:solidFill>
                <a:schemeClr val="accent4"/>
              </a:solidFill>
              <a:ln w="12700" cap="flat" cmpd="sng" algn="ctr">
                <a:noFill/>
                <a:prstDash val="solid"/>
                <a:miter lim="800000"/>
              </a:ln>
              <a:effectLst/>
            </c:spPr>
          </c:marker>
          <c:val>
            <c:numRef>
              <c:f>'8. PODER Y PARTICIPACIÓN'!$V$49:$X$49</c:f>
              <c:numCache>
                <c:formatCode>_-* #,##0_-;\-* #,##0_-;_-* "-"??_-;_-@_-</c:formatCode>
                <c:ptCount val="3"/>
                <c:pt idx="0">
                  <c:v>237</c:v>
                </c:pt>
                <c:pt idx="1">
                  <c:v>287</c:v>
                </c:pt>
                <c:pt idx="2">
                  <c:v>585</c:v>
                </c:pt>
              </c:numCache>
            </c:numRef>
          </c:val>
          <c:smooth val="0"/>
          <c:extLst>
            <c:ext xmlns:c16="http://schemas.microsoft.com/office/drawing/2014/chart" uri="{C3380CC4-5D6E-409C-BE32-E72D297353CC}">
              <c16:uniqueId val="{00000002-8AC9-4D69-8512-CFC2B6C9455E}"/>
            </c:ext>
          </c:extLst>
        </c:ser>
        <c:dLbls>
          <c:showLegendKey val="0"/>
          <c:showVal val="0"/>
          <c:showCatName val="0"/>
          <c:showSerName val="0"/>
          <c:showPercent val="0"/>
          <c:showBubbleSize val="0"/>
        </c:dLbls>
        <c:marker val="1"/>
        <c:smooth val="0"/>
        <c:axId val="159301887"/>
        <c:axId val="55134399"/>
      </c:lineChart>
      <c:catAx>
        <c:axId val="159301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134399"/>
        <c:crosses val="autoZero"/>
        <c:auto val="1"/>
        <c:lblAlgn val="ctr"/>
        <c:lblOffset val="100"/>
        <c:noMultiLvlLbl val="0"/>
      </c:catAx>
      <c:valAx>
        <c:axId val="5513439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9301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i="0" u="none" strike="noStrike" kern="1200" spc="0" baseline="0">
                <a:solidFill>
                  <a:sysClr val="windowText" lastClr="000000">
                    <a:lumMod val="65000"/>
                    <a:lumOff val="35000"/>
                  </a:sysClr>
                </a:solidFill>
              </a:rPr>
              <a:t>8.2. Porcentaje de rectoras en las universidades públicas y privadas madrileñas</a:t>
            </a:r>
          </a:p>
        </c:rich>
      </c:tx>
      <c:layout>
        <c:manualLayout>
          <c:xMode val="edge"/>
          <c:yMode val="edge"/>
          <c:x val="0.13316614583333333"/>
          <c:y val="1.763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0"/>
          <c:tx>
            <c:strRef>
              <c:f>'8. PODER Y PARTICIPACIÓN'!$C$8:$C$11</c:f>
              <c:strCache>
                <c:ptCount val="1"/>
                <c:pt idx="0">
                  <c:v>Total</c:v>
                </c:pt>
              </c:strCache>
            </c:strRef>
          </c:tx>
          <c:spPr>
            <a:solidFill>
              <a:srgbClr val="FF8989"/>
            </a:solidFill>
            <a:ln>
              <a:noFill/>
            </a:ln>
            <a:effectLst/>
          </c:spPr>
          <c:invertIfNegative val="0"/>
          <c:dPt>
            <c:idx val="0"/>
            <c:invertIfNegative val="0"/>
            <c:bubble3D val="0"/>
            <c:spPr>
              <a:solidFill>
                <a:srgbClr val="FF5050"/>
              </a:solidFill>
              <a:ln>
                <a:noFill/>
              </a:ln>
              <a:effectLst/>
            </c:spPr>
            <c:extLst>
              <c:ext xmlns:c16="http://schemas.microsoft.com/office/drawing/2014/chart" uri="{C3380CC4-5D6E-409C-BE32-E72D297353CC}">
                <c16:uniqueId val="{00000002-0A6F-40BF-8EEA-E70BFDB5A5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PARTICIPACIÓN'!$W$2</c:f>
              <c:numCache>
                <c:formatCode>General</c:formatCode>
                <c:ptCount val="1"/>
                <c:pt idx="0">
                  <c:v>2023</c:v>
                </c:pt>
              </c:numCache>
            </c:numRef>
          </c:cat>
          <c:val>
            <c:numRef>
              <c:f>'8. PODER Y PARTICIPACIÓN'!$W$11</c:f>
              <c:numCache>
                <c:formatCode>0.0</c:formatCode>
                <c:ptCount val="1"/>
                <c:pt idx="0">
                  <c:v>38.888888888888893</c:v>
                </c:pt>
              </c:numCache>
            </c:numRef>
          </c:val>
          <c:extLst>
            <c:ext xmlns:c16="http://schemas.microsoft.com/office/drawing/2014/chart" uri="{C3380CC4-5D6E-409C-BE32-E72D297353CC}">
              <c16:uniqueId val="{00000003-7EAC-4BD7-AAFC-A71E7922A4D3}"/>
            </c:ext>
          </c:extLst>
        </c:ser>
        <c:ser>
          <c:idx val="0"/>
          <c:order val="1"/>
          <c:tx>
            <c:strRef>
              <c:f>'8. PODER Y PARTICIPACIÓN'!$C$12:$C$15</c:f>
              <c:strCache>
                <c:ptCount val="1"/>
                <c:pt idx="0">
                  <c:v>Públicas</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PARTICIPACIÓN'!$W$2</c:f>
              <c:numCache>
                <c:formatCode>General</c:formatCode>
                <c:ptCount val="1"/>
                <c:pt idx="0">
                  <c:v>2023</c:v>
                </c:pt>
              </c:numCache>
            </c:numRef>
          </c:cat>
          <c:val>
            <c:numRef>
              <c:f>'8. PODER Y PARTICIPACIÓN'!$W$15</c:f>
              <c:numCache>
                <c:formatCode>0.0</c:formatCode>
                <c:ptCount val="1"/>
                <c:pt idx="0">
                  <c:v>16.666666666666664</c:v>
                </c:pt>
              </c:numCache>
            </c:numRef>
          </c:val>
          <c:extLst>
            <c:ext xmlns:c16="http://schemas.microsoft.com/office/drawing/2014/chart" uri="{C3380CC4-5D6E-409C-BE32-E72D297353CC}">
              <c16:uniqueId val="{00000000-0A6F-40BF-8EEA-E70BFDB5A5B9}"/>
            </c:ext>
          </c:extLst>
        </c:ser>
        <c:ser>
          <c:idx val="1"/>
          <c:order val="2"/>
          <c:tx>
            <c:strRef>
              <c:f>'8. PODER Y PARTICIPACIÓN'!$C$16:$C$19</c:f>
              <c:strCache>
                <c:ptCount val="1"/>
                <c:pt idx="0">
                  <c:v>Privadas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 PODER Y PARTICIPACIÓN'!$W$2</c:f>
              <c:numCache>
                <c:formatCode>General</c:formatCode>
                <c:ptCount val="1"/>
                <c:pt idx="0">
                  <c:v>2023</c:v>
                </c:pt>
              </c:numCache>
            </c:numRef>
          </c:cat>
          <c:val>
            <c:numRef>
              <c:f>'8. PODER Y PARTICIPACIÓN'!$W$19</c:f>
              <c:numCache>
                <c:formatCode>0.0</c:formatCode>
                <c:ptCount val="1"/>
                <c:pt idx="0">
                  <c:v>50</c:v>
                </c:pt>
              </c:numCache>
            </c:numRef>
          </c:val>
          <c:extLst>
            <c:ext xmlns:c16="http://schemas.microsoft.com/office/drawing/2014/chart" uri="{C3380CC4-5D6E-409C-BE32-E72D297353CC}">
              <c16:uniqueId val="{00000001-0A6F-40BF-8EEA-E70BFDB5A5B9}"/>
            </c:ext>
          </c:extLst>
        </c:ser>
        <c:dLbls>
          <c:showLegendKey val="0"/>
          <c:showVal val="0"/>
          <c:showCatName val="0"/>
          <c:showSerName val="0"/>
          <c:showPercent val="0"/>
          <c:showBubbleSize val="0"/>
        </c:dLbls>
        <c:gapWidth val="125"/>
        <c:overlap val="-27"/>
        <c:axId val="534793776"/>
        <c:axId val="689552240"/>
      </c:barChart>
      <c:catAx>
        <c:axId val="534793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900" b="0" i="0" u="none" strike="noStrike" kern="1200" baseline="0">
                <a:solidFill>
                  <a:schemeClr val="tx1">
                    <a:lumMod val="65000"/>
                    <a:lumOff val="35000"/>
                  </a:schemeClr>
                </a:solidFill>
                <a:latin typeface="+mn-lt"/>
                <a:ea typeface="+mn-ea"/>
                <a:cs typeface="+mn-cs"/>
              </a:defRPr>
            </a:pPr>
            <a:endParaRPr lang="es-ES"/>
          </a:p>
        </c:txPr>
        <c:crossAx val="689552240"/>
        <c:crosses val="autoZero"/>
        <c:auto val="0"/>
        <c:lblAlgn val="ctr"/>
        <c:lblOffset val="100"/>
        <c:noMultiLvlLbl val="0"/>
      </c:catAx>
      <c:valAx>
        <c:axId val="689552240"/>
        <c:scaling>
          <c:orientation val="minMax"/>
        </c:scaling>
        <c:delete val="0"/>
        <c:axPos val="l"/>
        <c:majorGridlines>
          <c:spPr>
            <a:ln w="9525" cap="flat" cmpd="sng" algn="ctr">
              <a:noFill/>
              <a:round/>
            </a:ln>
            <a:effectLst/>
          </c:spPr>
        </c:majorGridlines>
        <c:minorGridlines>
          <c:spPr>
            <a:ln w="9525" cap="flat" cmpd="sng" algn="ctr">
              <a:no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4793776"/>
        <c:crossesAt val="1"/>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67000"/>
          </a:schemeClr>
        </a:solidFill>
        <a:ln>
          <a:solidFill>
            <a:schemeClr val="bg2"/>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2.4. Hogares Unipersonales (65 y más años)</a:t>
            </a:r>
          </a:p>
        </c:rich>
      </c:tx>
      <c:layout>
        <c:manualLayout>
          <c:xMode val="edge"/>
          <c:yMode val="edge"/>
          <c:x val="0.39113443251460506"/>
          <c:y val="2.676026222225905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34681470588235291"/>
          <c:y val="0.14116527777777776"/>
          <c:w val="0.65318524305555559"/>
          <c:h val="0.49816945788363726"/>
        </c:manualLayout>
      </c:layout>
      <c:barChart>
        <c:barDir val="col"/>
        <c:grouping val="clustered"/>
        <c:varyColors val="0"/>
        <c:ser>
          <c:idx val="2"/>
          <c:order val="2"/>
          <c:tx>
            <c:strRef>
              <c:f>'2. POBLACIÓN Y HOGARES'!$C$47:$D$47</c:f>
              <c:strCache>
                <c:ptCount val="2"/>
                <c:pt idx="0">
                  <c:v>Diferencia (N)</c:v>
                </c:pt>
              </c:strCache>
            </c:strRef>
          </c:tx>
          <c:spPr>
            <a:solidFill>
              <a:srgbClr val="FF8989">
                <a:alpha val="70000"/>
              </a:srgbClr>
            </a:solidFill>
            <a:ln>
              <a:noFill/>
            </a:ln>
            <a:effectLst/>
          </c:spPr>
          <c:invertIfNegative val="0"/>
          <c:dLbls>
            <c:dLbl>
              <c:idx val="0"/>
              <c:layout>
                <c:manualLayout>
                  <c:x val="-8.7692069470950691E-17"/>
                  <c:y val="1.91164367864968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7-492E-949E-AC8744D12B3E}"/>
                </c:ext>
              </c:extLst>
            </c:dLbl>
            <c:dLbl>
              <c:idx val="1"/>
              <c:layout>
                <c:manualLayout>
                  <c:x val="0"/>
                  <c:y val="2.38955459831211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27-492E-949E-AC8744D12B3E}"/>
                </c:ext>
              </c:extLst>
            </c:dLbl>
            <c:dLbl>
              <c:idx val="2"/>
              <c:layout>
                <c:manualLayout>
                  <c:x val="0"/>
                  <c:y val="9.5582183932484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5F-4FEF-BC8D-50A60AA1841F}"/>
                </c:ext>
              </c:extLst>
            </c:dLbl>
            <c:dLbl>
              <c:idx val="4"/>
              <c:layout>
                <c:manualLayout>
                  <c:x val="0"/>
                  <c:y val="1.43373275898726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5C-40F4-8B84-B9F527EE206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HOGARES'!$E$49:$X$49</c15:sqref>
                  </c15:fullRef>
                </c:ext>
              </c:extLst>
              <c:f>'2. POBLACIÓN Y HOGARES'!$F$49:$X$49</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HOGARES'!$E$47:$X$47</c15:sqref>
                  </c15:fullRef>
                </c:ext>
              </c:extLst>
              <c:f>'2. POBLACIÓN Y HOGARES'!$F$47:$X$47</c:f>
              <c:numCache>
                <c:formatCode>#,##0</c:formatCode>
                <c:ptCount val="7"/>
                <c:pt idx="0">
                  <c:v>85171</c:v>
                </c:pt>
                <c:pt idx="1">
                  <c:v>88883</c:v>
                </c:pt>
                <c:pt idx="2">
                  <c:v>89157</c:v>
                </c:pt>
                <c:pt idx="3">
                  <c:v>90895</c:v>
                </c:pt>
                <c:pt idx="4">
                  <c:v>91259</c:v>
                </c:pt>
                <c:pt idx="5">
                  <c:v>91533</c:v>
                </c:pt>
                <c:pt idx="6">
                  <c:v>92144</c:v>
                </c:pt>
              </c:numCache>
            </c:numRef>
          </c:val>
          <c:extLst>
            <c:ext xmlns:c15="http://schemas.microsoft.com/office/drawing/2012/chart" uri="{02D57815-91ED-43cb-92C2-25804820EDAC}">
              <c15:categoryFilterExceptions>
                <c15:categoryFilterException>
                  <c15:sqref>'2. POBLACIÓN Y HOGARES'!$E$47</c15:sqref>
                  <c15:dLbl>
                    <c:idx val="-1"/>
                    <c:layout>
                      <c:manualLayout>
                        <c:x val="-1.8680555555555556E-4"/>
                        <c:y val="1.9979974497436905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BAEF-49B0-931C-0AB594A6ADEA}"/>
                      </c:ext>
                    </c:extLst>
                  </c15:dLbl>
                </c15:categoryFilterException>
              </c15:categoryFilterExceptions>
            </c:ext>
            <c:ext xmlns:c16="http://schemas.microsoft.com/office/drawing/2014/chart" uri="{C3380CC4-5D6E-409C-BE32-E72D297353CC}">
              <c16:uniqueId val="{00000007-6F5F-4FEF-BC8D-50A60AA1841F}"/>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HOGARES'!$C$45:$D$45</c:f>
              <c:strCache>
                <c:ptCount val="2"/>
                <c:pt idx="0">
                  <c:v>1 hombre solo de 65 o más años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HOGARES'!$E$45:$Y$45</c15:sqref>
                  </c15:fullRef>
                </c:ext>
              </c:extLst>
              <c:f>'2. POBLACIÓN Y HOGARES'!$F$45:$Y$45</c:f>
              <c:numCache>
                <c:formatCode>#,##0</c:formatCode>
                <c:ptCount val="7"/>
                <c:pt idx="0">
                  <c:v>27723</c:v>
                </c:pt>
                <c:pt idx="1">
                  <c:v>33395</c:v>
                </c:pt>
                <c:pt idx="2">
                  <c:v>37538</c:v>
                </c:pt>
                <c:pt idx="3">
                  <c:v>38397</c:v>
                </c:pt>
                <c:pt idx="4">
                  <c:v>39490</c:v>
                </c:pt>
                <c:pt idx="5">
                  <c:v>40617</c:v>
                </c:pt>
                <c:pt idx="6">
                  <c:v>43524</c:v>
                </c:pt>
              </c:numCache>
            </c:numRef>
          </c:val>
          <c:smooth val="0"/>
          <c:extLst>
            <c:ext xmlns:c16="http://schemas.microsoft.com/office/drawing/2014/chart" uri="{C3380CC4-5D6E-409C-BE32-E72D297353CC}">
              <c16:uniqueId val="{00000008-6F5F-4FEF-BC8D-50A60AA1841F}"/>
            </c:ext>
          </c:extLst>
        </c:ser>
        <c:ser>
          <c:idx val="1"/>
          <c:order val="1"/>
          <c:tx>
            <c:strRef>
              <c:f>'2. POBLACIÓN Y HOGARES'!$C$46:$D$46</c:f>
              <c:strCache>
                <c:ptCount val="2"/>
                <c:pt idx="0">
                  <c:v>1 mujer sola de 65 o más años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HOGARES'!$E$46:$Y$46</c15:sqref>
                  </c15:fullRef>
                </c:ext>
              </c:extLst>
              <c:f>'2. POBLACIÓN Y HOGARES'!$F$46:$Y$46</c:f>
              <c:numCache>
                <c:formatCode>#,##0</c:formatCode>
                <c:ptCount val="7"/>
                <c:pt idx="0">
                  <c:v>112894</c:v>
                </c:pt>
                <c:pt idx="1">
                  <c:v>122278</c:v>
                </c:pt>
                <c:pt idx="2">
                  <c:v>126695</c:v>
                </c:pt>
                <c:pt idx="3">
                  <c:v>129292</c:v>
                </c:pt>
                <c:pt idx="4">
                  <c:v>130749</c:v>
                </c:pt>
                <c:pt idx="5">
                  <c:v>132150</c:v>
                </c:pt>
                <c:pt idx="6">
                  <c:v>135668</c:v>
                </c:pt>
              </c:numCache>
            </c:numRef>
          </c:val>
          <c:smooth val="0"/>
          <c:extLst>
            <c:ext xmlns:c16="http://schemas.microsoft.com/office/drawing/2014/chart" uri="{C3380CC4-5D6E-409C-BE32-E72D297353CC}">
              <c16:uniqueId val="{00000009-6F5F-4FEF-BC8D-50A60AA1841F}"/>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4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it-IT" sz="1200" b="1" i="0" u="none" strike="noStrike" kern="1200" spc="0" baseline="0">
                <a:solidFill>
                  <a:sysClr val="windowText" lastClr="000000">
                    <a:lumMod val="65000"/>
                    <a:lumOff val="35000"/>
                  </a:sysClr>
                </a:solidFill>
              </a:rPr>
              <a:t>8.6 Personas inscritas en el Cuerpo de Voluntarios y Voluntarias del Ayuntamiento de Madrid </a:t>
            </a:r>
          </a:p>
        </c:rich>
      </c:tx>
      <c:layout>
        <c:manualLayout>
          <c:xMode val="edge"/>
          <c:yMode val="edge"/>
          <c:x val="0.20737688442211055"/>
          <c:y val="1.675392670157068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manualLayout>
          <c:layoutTarget val="inner"/>
          <c:xMode val="edge"/>
          <c:yMode val="edge"/>
          <c:x val="0.18622359007154562"/>
          <c:y val="0.13947826086956525"/>
          <c:w val="0.79347184140053562"/>
          <c:h val="0.52894092586252806"/>
        </c:manualLayout>
      </c:layout>
      <c:barChart>
        <c:barDir val="col"/>
        <c:grouping val="clustered"/>
        <c:varyColors val="0"/>
        <c:ser>
          <c:idx val="2"/>
          <c:order val="2"/>
          <c:tx>
            <c:strRef>
              <c:f>'8. PODER Y PARTICIPACIÓN'!$C$38:$D$38</c:f>
              <c:strCache>
                <c:ptCount val="2"/>
                <c:pt idx="0">
                  <c:v>Mujeres (N)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 PODER Y PARTICIPACIÓN'!$V$39:$X$39</c:f>
              <c:numCache>
                <c:formatCode>_-* #,##0_-;\-* #,##0_-;_-* "-"??_-;_-@_-</c:formatCode>
                <c:ptCount val="3"/>
                <c:pt idx="0">
                  <c:v>6313</c:v>
                </c:pt>
                <c:pt idx="1">
                  <c:v>6996</c:v>
                </c:pt>
                <c:pt idx="2">
                  <c:v>7473</c:v>
                </c:pt>
              </c:numCache>
            </c:numRef>
          </c:val>
          <c:extLst>
            <c:ext xmlns:c16="http://schemas.microsoft.com/office/drawing/2014/chart" uri="{C3380CC4-5D6E-409C-BE32-E72D297353CC}">
              <c16:uniqueId val="{00000000-AC3C-4FF3-B00B-12E171081767}"/>
            </c:ext>
          </c:extLst>
        </c:ser>
        <c:dLbls>
          <c:showLegendKey val="0"/>
          <c:showVal val="0"/>
          <c:showCatName val="0"/>
          <c:showSerName val="0"/>
          <c:showPercent val="0"/>
          <c:showBubbleSize val="0"/>
        </c:dLbls>
        <c:gapWidth val="219"/>
        <c:axId val="435965944"/>
        <c:axId val="435966304"/>
      </c:barChart>
      <c:lineChart>
        <c:grouping val="standard"/>
        <c:varyColors val="0"/>
        <c:ser>
          <c:idx val="0"/>
          <c:order val="0"/>
          <c:tx>
            <c:strRef>
              <c:f>'8. PODER Y PARTICIPACIÓN'!$C$39:$D$39</c:f>
              <c:strCache>
                <c:ptCount val="2"/>
                <c:pt idx="0">
                  <c:v>Brecha (N)</c:v>
                </c:pt>
              </c:strCache>
            </c:strRef>
          </c:tx>
          <c:spPr>
            <a:ln w="19050" cap="flat" cmpd="sng" algn="ctr">
              <a:solidFill>
                <a:schemeClr val="tx1">
                  <a:lumMod val="50000"/>
                  <a:lumOff val="50000"/>
                </a:schemeClr>
              </a:solidFill>
              <a:prstDash val="solid"/>
              <a:miter lim="800000"/>
            </a:ln>
            <a:effectLst/>
          </c:spPr>
          <c:marker>
            <c:symbol val="circle"/>
            <c:size val="5"/>
            <c:spPr>
              <a:solidFill>
                <a:schemeClr val="tx1">
                  <a:lumMod val="50000"/>
                  <a:lumOff val="50000"/>
                </a:schemeClr>
              </a:solidFill>
              <a:ln w="19050" cap="flat" cmpd="sng" algn="ctr">
                <a:noFill/>
                <a:prstDash val="solid"/>
                <a:miter lim="800000"/>
              </a:ln>
              <a:effectLst/>
            </c:spPr>
          </c:marker>
          <c:cat>
            <c:numRef>
              <c:f>'8. PODER Y PARTICIPACIÓN'!$V$35:$X$35</c:f>
              <c:numCache>
                <c:formatCode>General</c:formatCode>
                <c:ptCount val="3"/>
                <c:pt idx="0">
                  <c:v>2022</c:v>
                </c:pt>
                <c:pt idx="1">
                  <c:v>2023</c:v>
                </c:pt>
                <c:pt idx="2">
                  <c:v>2024</c:v>
                </c:pt>
              </c:numCache>
            </c:numRef>
          </c:cat>
          <c:val>
            <c:numRef>
              <c:f>'8. PODER Y PARTICIPACIÓN'!$V$37:$X$37</c:f>
              <c:numCache>
                <c:formatCode>_-* #,##0_-;\-* #,##0_-;_-* "-"??_-;_-@_-</c:formatCode>
                <c:ptCount val="3"/>
                <c:pt idx="0">
                  <c:v>6569</c:v>
                </c:pt>
                <c:pt idx="1">
                  <c:v>7001</c:v>
                </c:pt>
                <c:pt idx="2">
                  <c:v>7336</c:v>
                </c:pt>
              </c:numCache>
            </c:numRef>
          </c:val>
          <c:smooth val="0"/>
          <c:extLst>
            <c:ext xmlns:c16="http://schemas.microsoft.com/office/drawing/2014/chart" uri="{C3380CC4-5D6E-409C-BE32-E72D297353CC}">
              <c16:uniqueId val="{00000001-AC3C-4FF3-B00B-12E171081767}"/>
            </c:ext>
          </c:extLst>
        </c:ser>
        <c:ser>
          <c:idx val="1"/>
          <c:order val="1"/>
          <c:tx>
            <c:strRef>
              <c:f>'8. PODER Y PARTICIPACIÓN'!$C$37:$D$37</c:f>
              <c:strCache>
                <c:ptCount val="2"/>
                <c:pt idx="0">
                  <c:v>Hombres (N)</c:v>
                </c:pt>
              </c:strCache>
            </c:strRef>
          </c:tx>
          <c:spPr>
            <a:ln w="19050" cap="rnd">
              <a:solidFill>
                <a:srgbClr val="C00000"/>
              </a:solidFill>
              <a:round/>
            </a:ln>
            <a:effectLst/>
          </c:spPr>
          <c:marker>
            <c:symbol val="circle"/>
            <c:size val="5"/>
            <c:spPr>
              <a:solidFill>
                <a:srgbClr val="C00000"/>
              </a:solidFill>
              <a:ln w="12700">
                <a:noFill/>
              </a:ln>
              <a:effectLst/>
            </c:spPr>
          </c:marker>
          <c:dPt>
            <c:idx val="2"/>
            <c:marker>
              <c:symbol val="circle"/>
              <c:size val="5"/>
              <c:spPr>
                <a:solidFill>
                  <a:srgbClr val="C00000"/>
                </a:solidFill>
                <a:ln w="19050">
                  <a:noFill/>
                </a:ln>
                <a:effectLst/>
              </c:spPr>
            </c:marker>
            <c:bubble3D val="0"/>
            <c:extLst>
              <c:ext xmlns:c16="http://schemas.microsoft.com/office/drawing/2014/chart" uri="{C3380CC4-5D6E-409C-BE32-E72D297353CC}">
                <c16:uniqueId val="{00000000-1818-4338-A014-A746A5F72ED8}"/>
              </c:ext>
            </c:extLst>
          </c:dPt>
          <c:cat>
            <c:numRef>
              <c:f>'8. PODER Y PARTICIPACIÓN'!$V$35:$X$35</c:f>
              <c:numCache>
                <c:formatCode>General</c:formatCode>
                <c:ptCount val="3"/>
                <c:pt idx="0">
                  <c:v>2022</c:v>
                </c:pt>
                <c:pt idx="1">
                  <c:v>2023</c:v>
                </c:pt>
                <c:pt idx="2">
                  <c:v>2024</c:v>
                </c:pt>
              </c:numCache>
            </c:numRef>
          </c:cat>
          <c:val>
            <c:numRef>
              <c:f>'8. PODER Y PARTICIPACIÓN'!$V$38:$X$38</c:f>
              <c:numCache>
                <c:formatCode>_-* #,##0_-;\-* #,##0_-;_-* "-"??_-;_-@_-</c:formatCode>
                <c:ptCount val="3"/>
                <c:pt idx="0">
                  <c:v>12882</c:v>
                </c:pt>
                <c:pt idx="1">
                  <c:v>13997</c:v>
                </c:pt>
                <c:pt idx="2">
                  <c:v>14809</c:v>
                </c:pt>
              </c:numCache>
            </c:numRef>
          </c:val>
          <c:smooth val="0"/>
          <c:extLst>
            <c:ext xmlns:c16="http://schemas.microsoft.com/office/drawing/2014/chart" uri="{C3380CC4-5D6E-409C-BE32-E72D297353CC}">
              <c16:uniqueId val="{00000002-AC3C-4FF3-B00B-12E171081767}"/>
            </c:ext>
          </c:extLst>
        </c:ser>
        <c:dLbls>
          <c:showLegendKey val="0"/>
          <c:showVal val="0"/>
          <c:showCatName val="0"/>
          <c:showSerName val="0"/>
          <c:showPercent val="0"/>
          <c:showBubbleSize val="0"/>
        </c:dLbls>
        <c:marker val="1"/>
        <c:smooth val="0"/>
        <c:axId val="435965944"/>
        <c:axId val="435966304"/>
      </c:lineChart>
      <c:catAx>
        <c:axId val="43596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5966304"/>
        <c:crosses val="autoZero"/>
        <c:auto val="1"/>
        <c:lblAlgn val="ctr"/>
        <c:lblOffset val="100"/>
        <c:noMultiLvlLbl val="0"/>
      </c:catAx>
      <c:valAx>
        <c:axId val="435966304"/>
        <c:scaling>
          <c:orientation val="minMax"/>
        </c:scaling>
        <c:delete val="0"/>
        <c:axPos val="l"/>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59659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schemeClr>
        </a:solidFill>
        <a:ln>
          <a:noFill/>
        </a:ln>
        <a:effectLst/>
      </c:spPr>
    </c:plotArea>
    <c:legend>
      <c:legendPos val="b"/>
      <c:layout>
        <c:manualLayout>
          <c:xMode val="edge"/>
          <c:yMode val="edge"/>
          <c:x val="0.44466094250781468"/>
          <c:y val="0.92094191367440326"/>
          <c:w val="0.48454746171803903"/>
          <c:h val="7.06811229748113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9.1 Percepción de seguridad en el barrio por el día (muy seguro/a</a:t>
            </a:r>
            <a:r>
              <a:rPr lang="it-IT" sz="1200" b="1" baseline="0"/>
              <a:t> y </a:t>
            </a:r>
            <a:r>
              <a:rPr lang="it-IT" sz="1200" b="1"/>
              <a:t>bastante seguro/a) (%</a:t>
            </a:r>
            <a:r>
              <a:rPr lang="it-IT" sz="1200" b="1" baseline="0"/>
              <a:t>)</a:t>
            </a:r>
            <a:r>
              <a:rPr lang="it-IT" sz="1200" b="1"/>
              <a:t> </a:t>
            </a:r>
          </a:p>
        </c:rich>
      </c:tx>
      <c:layout>
        <c:manualLayout>
          <c:xMode val="edge"/>
          <c:yMode val="edge"/>
          <c:x val="0.24776306949050855"/>
          <c:y val="2.5349798948149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MOVILIDAD'!$C$6:$D$6</c:f>
              <c:strCache>
                <c:ptCount val="2"/>
                <c:pt idx="0">
                  <c:v>Brecha (punt.porc.)</c:v>
                </c:pt>
              </c:strCache>
            </c:strRef>
          </c:tx>
          <c:spPr>
            <a:solidFill>
              <a:srgbClr val="FF8989"/>
            </a:solidFill>
            <a:ln>
              <a:noFill/>
            </a:ln>
            <a:effectLst/>
          </c:spPr>
          <c:invertIfNegative val="0"/>
          <c:dLbls>
            <c:dLbl>
              <c:idx val="0"/>
              <c:layout>
                <c:manualLayout>
                  <c:x val="-4.0659293015008362E-17"/>
                  <c:y val="4.84599054877304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49-4839-B00C-A846BE362C2B}"/>
                </c:ext>
              </c:extLst>
            </c:dLbl>
            <c:dLbl>
              <c:idx val="1"/>
              <c:layout>
                <c:manualLayout>
                  <c:x val="0"/>
                  <c:y val="8.859101889432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49-4839-B00C-A846BE362C2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'9. SEGURIDAD Y MOVILIDAD'!$P$2:$S$2</c15:sqref>
                  </c15:fullRef>
                </c:ext>
              </c:extLst>
              <c:f>('9. SEGURIDAD Y MOVILIDAD'!$P$2:$Q$2,'9. SEGURIDAD Y MOVILIDAD'!$S$2)</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'9. SEGURIDAD Y MOVILIDAD'!$P$6:$S$6</c15:sqref>
                  </c15:fullRef>
                </c:ext>
              </c:extLst>
              <c:f>('9. SEGURIDAD Y MOVILIDAD'!$P$6:$Q$6,'9. SEGURIDAD Y MOVILIDAD'!$S$6)</c:f>
              <c:numCache>
                <c:formatCode>General</c:formatCode>
                <c:ptCount val="3"/>
                <c:pt idx="0">
                  <c:v>-3.2999999999999972</c:v>
                </c:pt>
                <c:pt idx="1">
                  <c:v>-4.4000000000000057</c:v>
                </c:pt>
                <c:pt idx="2">
                  <c:v>-3.7000000000000028</c:v>
                </c:pt>
              </c:numCache>
            </c:numRef>
          </c:val>
          <c:extLst>
            <c:ext xmlns:c15="http://schemas.microsoft.com/office/drawing/2012/chart" uri="{02D57815-91ED-43cb-92C2-25804820EDAC}">
              <c15:categoryFilterExceptions>
                <c15:categoryFilterException>
                  <c15:sqref>'9. SEGURIDAD Y MOVILIDAD'!$R$6</c15:sqref>
                  <c15:dLbl>
                    <c:idx val="1"/>
                    <c:layout>
                      <c:manualLayout>
                        <c:x val="-9.3655793346353971E-17"/>
                        <c:y val="2.5504790683320948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9956-408B-83BF-A7DB4FC349B5}"/>
                      </c:ext>
                    </c:extLst>
                  </c15:dLbl>
                </c15:categoryFilterException>
              </c15:categoryFilterExceptions>
            </c:ext>
            <c:ext xmlns:c16="http://schemas.microsoft.com/office/drawing/2014/chart" uri="{C3380CC4-5D6E-409C-BE32-E72D297353CC}">
              <c16:uniqueId val="{00000002-1249-4839-B00C-A846BE362C2B}"/>
            </c:ext>
          </c:extLst>
        </c:ser>
        <c:dLbls>
          <c:showLegendKey val="0"/>
          <c:showVal val="0"/>
          <c:showCatName val="0"/>
          <c:showSerName val="0"/>
          <c:showPercent val="0"/>
          <c:showBubbleSize val="0"/>
        </c:dLbls>
        <c:gapWidth val="219"/>
        <c:axId val="158062511"/>
        <c:axId val="1500577887"/>
      </c:barChart>
      <c:lineChart>
        <c:grouping val="standard"/>
        <c:varyColors val="0"/>
        <c:ser>
          <c:idx val="0"/>
          <c:order val="0"/>
          <c:tx>
            <c:strRef>
              <c:f>'9. SEGURIDAD Y MOVILIDAD'!$C$4:$D$4</c:f>
              <c:strCache>
                <c:ptCount val="2"/>
                <c:pt idx="0">
                  <c:v>Hombres (% muy y bastante seguros)</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solidFill>
                  <a:schemeClr val="bg2">
                    <a:lumMod val="50000"/>
                  </a:schemeClr>
                </a:solidFill>
                <a:prstDash val="solid"/>
                <a:miter lim="800000"/>
              </a:ln>
              <a:effectLst/>
            </c:spPr>
          </c:marker>
          <c:cat>
            <c:numRef>
              <c:extLst>
                <c:ext xmlns:c15="http://schemas.microsoft.com/office/drawing/2012/chart" uri="{02D57815-91ED-43cb-92C2-25804820EDAC}">
                  <c15:fullRef>
                    <c15:sqref>'9. SEGURIDAD Y MOVILIDAD'!$P$2:$S$2</c15:sqref>
                  </c15:fullRef>
                </c:ext>
              </c:extLst>
              <c:f>('9. SEGURIDAD Y MOVILIDAD'!$P$2:$Q$2,'9. SEGURIDAD Y MOVILIDAD'!$S$2)</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'9. SEGURIDAD Y MOVILIDAD'!$P$4:$S$4</c15:sqref>
                  </c15:fullRef>
                </c:ext>
              </c:extLst>
              <c:f>('9. SEGURIDAD Y MOVILIDAD'!$P$4:$Q$4,'9. SEGURIDAD Y MOVILIDAD'!$S$4)</c:f>
              <c:numCache>
                <c:formatCode>General</c:formatCode>
                <c:ptCount val="3"/>
                <c:pt idx="0">
                  <c:v>87.5</c:v>
                </c:pt>
                <c:pt idx="1">
                  <c:v>91.300000000000011</c:v>
                </c:pt>
                <c:pt idx="2">
                  <c:v>91.3</c:v>
                </c:pt>
              </c:numCache>
            </c:numRef>
          </c:val>
          <c:smooth val="0"/>
          <c:extLst>
            <c:ext xmlns:c16="http://schemas.microsoft.com/office/drawing/2014/chart" uri="{C3380CC4-5D6E-409C-BE32-E72D297353CC}">
              <c16:uniqueId val="{00000003-1249-4839-B00C-A846BE362C2B}"/>
            </c:ext>
          </c:extLst>
        </c:ser>
        <c:ser>
          <c:idx val="1"/>
          <c:order val="1"/>
          <c:tx>
            <c:strRef>
              <c:f>'9. SEGURIDAD Y MOVILIDAD'!$C$5:$D$5</c:f>
              <c:strCache>
                <c:ptCount val="2"/>
                <c:pt idx="0">
                  <c:v>Mujeres (% muy y bastante seguras)</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solidFill>
                  <a:srgbClr val="C00000"/>
                </a:solidFill>
                <a:prstDash val="solid"/>
                <a:miter lim="800000"/>
              </a:ln>
              <a:effectLst/>
            </c:spPr>
          </c:marker>
          <c:cat>
            <c:numRef>
              <c:extLst>
                <c:ext xmlns:c15="http://schemas.microsoft.com/office/drawing/2012/chart" uri="{02D57815-91ED-43cb-92C2-25804820EDAC}">
                  <c15:fullRef>
                    <c15:sqref>'9. SEGURIDAD Y MOVILIDAD'!$P$2:$S$2</c15:sqref>
                  </c15:fullRef>
                </c:ext>
              </c:extLst>
              <c:f>('9. SEGURIDAD Y MOVILIDAD'!$P$2:$Q$2,'9. SEGURIDAD Y MOVILIDAD'!$S$2)</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'9. SEGURIDAD Y MOVILIDAD'!$P$5:$S$5</c15:sqref>
                  </c15:fullRef>
                </c:ext>
              </c:extLst>
              <c:f>('9. SEGURIDAD Y MOVILIDAD'!$P$5:$Q$5,'9. SEGURIDAD Y MOVILIDAD'!$S$5)</c:f>
              <c:numCache>
                <c:formatCode>General</c:formatCode>
                <c:ptCount val="3"/>
                <c:pt idx="0">
                  <c:v>84.2</c:v>
                </c:pt>
                <c:pt idx="1">
                  <c:v>86.9</c:v>
                </c:pt>
                <c:pt idx="2">
                  <c:v>87.6</c:v>
                </c:pt>
              </c:numCache>
            </c:numRef>
          </c:val>
          <c:smooth val="0"/>
          <c:extLst>
            <c:ext xmlns:c16="http://schemas.microsoft.com/office/drawing/2014/chart" uri="{C3380CC4-5D6E-409C-BE32-E72D297353CC}">
              <c16:uniqueId val="{00000004-1249-4839-B00C-A846BE362C2B}"/>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9.1 Percepción de seguridad en el barrio por el día </a:t>
            </a:r>
            <a:r>
              <a:rPr lang="it-IT" sz="1200" b="1" i="0" u="none" strike="noStrike" kern="1200" spc="0" baseline="0">
                <a:solidFill>
                  <a:sysClr val="windowText" lastClr="000000">
                    <a:lumMod val="65000"/>
                    <a:lumOff val="35000"/>
                  </a:sysClr>
                </a:solidFill>
              </a:rPr>
              <a:t>(media en escala 0-10)</a:t>
            </a:r>
            <a:endParaRPr lang="it-IT" sz="1200" b="1"/>
          </a:p>
        </c:rich>
      </c:tx>
      <c:layout>
        <c:manualLayout>
          <c:xMode val="edge"/>
          <c:yMode val="edge"/>
          <c:x val="0.23830215418644637"/>
          <c:y val="1.9729714640445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MOVILIDAD'!$C$10</c:f>
              <c:strCache>
                <c:ptCount val="1"/>
                <c:pt idx="0">
                  <c:v>Brecha (Media)</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2021</c:v>
              </c:pt>
              <c:pt idx="1">
                <c:v>2022</c:v>
              </c:pt>
              <c:pt idx="2">
                <c:v>2023</c:v>
              </c:pt>
              <c:pt idx="3">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MOVILIDAD'!$D$10,'9. SEGURIDAD Y MOVILIDAD'!$U$10:$X$10)</c15:sqref>
                  </c15:fullRef>
                </c:ext>
              </c:extLst>
              <c:f>'9. SEGURIDAD Y MOVILIDAD'!$U$10:$X$10</c:f>
              <c:numCache>
                <c:formatCode>General</c:formatCode>
                <c:ptCount val="4"/>
                <c:pt idx="0">
                  <c:v>0</c:v>
                </c:pt>
                <c:pt idx="1">
                  <c:v>-0.20000000000000107</c:v>
                </c:pt>
                <c:pt idx="2">
                  <c:v>-0.20000000000000018</c:v>
                </c:pt>
                <c:pt idx="3">
                  <c:v>0</c:v>
                </c:pt>
              </c:numCache>
            </c:numRef>
          </c:val>
          <c:extLst>
            <c:ext xmlns:c16="http://schemas.microsoft.com/office/drawing/2014/chart" uri="{C3380CC4-5D6E-409C-BE32-E72D297353CC}">
              <c16:uniqueId val="{00000000-902B-406A-8008-54859E62B377}"/>
            </c:ext>
          </c:extLst>
        </c:ser>
        <c:dLbls>
          <c:showLegendKey val="0"/>
          <c:showVal val="0"/>
          <c:showCatName val="0"/>
          <c:showSerName val="0"/>
          <c:showPercent val="0"/>
          <c:showBubbleSize val="0"/>
        </c:dLbls>
        <c:gapWidth val="219"/>
        <c:axId val="158062511"/>
        <c:axId val="1500577887"/>
      </c:barChart>
      <c:lineChart>
        <c:grouping val="standard"/>
        <c:varyColors val="0"/>
        <c:ser>
          <c:idx val="0"/>
          <c:order val="0"/>
          <c:tx>
            <c:strRef>
              <c:f>'9. SEGURIDAD Y MOVILIDAD'!$C$8</c:f>
              <c:strCache>
                <c:ptCount val="1"/>
                <c:pt idx="0">
                  <c:v>Hombres (Media escala 0-10)</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solidFill>
                  <a:schemeClr val="bg2">
                    <a:lumMod val="50000"/>
                  </a:schemeClr>
                </a:solidFill>
                <a:prstDash val="solid"/>
                <a:miter lim="800000"/>
              </a:ln>
              <a:effectLst/>
            </c:spPr>
          </c:marker>
          <c:cat>
            <c:numRef>
              <c:extLst>
                <c:ext xmlns:c15="http://schemas.microsoft.com/office/drawing/2012/chart" uri="{02D57815-91ED-43cb-92C2-25804820EDAC}">
                  <c15:fullRef>
                    <c15:sqref>'9. SEGURIDAD Y MOVILIDAD'!$T$2:$X$2</c15:sqref>
                  </c15:fullRef>
                </c:ext>
              </c:extLst>
              <c:f>'9. SEGURIDAD Y MOVILIDAD'!$U$2:$X$2</c:f>
              <c:numCache>
                <c:formatCode>General</c:formatCode>
                <c:ptCount val="4"/>
                <c:pt idx="0">
                  <c:v>2021</c:v>
                </c:pt>
                <c:pt idx="1">
                  <c:v>2022</c:v>
                </c:pt>
                <c:pt idx="2">
                  <c:v>2023</c:v>
                </c:pt>
                <c:pt idx="3">
                  <c:v>2024</c:v>
                </c:pt>
              </c:numCache>
            </c:numRef>
          </c:cat>
          <c:val>
            <c:numRef>
              <c:extLst>
                <c:ext xmlns:c15="http://schemas.microsoft.com/office/drawing/2012/chart" uri="{02D57815-91ED-43cb-92C2-25804820EDAC}">
                  <c15:fullRef>
                    <c15:sqref>('9. SEGURIDAD Y MOVILIDAD'!$D$8,'9. SEGURIDAD Y MOVILIDAD'!$U$8:$X$8)</c15:sqref>
                  </c15:fullRef>
                </c:ext>
              </c:extLst>
              <c:f>'9. SEGURIDAD Y MOVILIDAD'!$U$8:$X$8</c:f>
              <c:numCache>
                <c:formatCode>General</c:formatCode>
                <c:ptCount val="4"/>
                <c:pt idx="0">
                  <c:v>8.1999999999999993</c:v>
                </c:pt>
                <c:pt idx="1">
                  <c:v>8.3000000000000007</c:v>
                </c:pt>
                <c:pt idx="2">
                  <c:v>7.9</c:v>
                </c:pt>
                <c:pt idx="3">
                  <c:v>7.8</c:v>
                </c:pt>
              </c:numCache>
            </c:numRef>
          </c:val>
          <c:smooth val="0"/>
          <c:extLst>
            <c:ext xmlns:c16="http://schemas.microsoft.com/office/drawing/2014/chart" uri="{C3380CC4-5D6E-409C-BE32-E72D297353CC}">
              <c16:uniqueId val="{00000001-902B-406A-8008-54859E62B377}"/>
            </c:ext>
          </c:extLst>
        </c:ser>
        <c:ser>
          <c:idx val="1"/>
          <c:order val="1"/>
          <c:tx>
            <c:strRef>
              <c:f>'9. SEGURIDAD Y MOVILIDAD'!$C$9</c:f>
              <c:strCache>
                <c:ptCount val="1"/>
                <c:pt idx="0">
                  <c:v>Mujeres (Media escala 0-10)</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solidFill>
                  <a:srgbClr val="C00000"/>
                </a:solidFill>
                <a:prstDash val="solid"/>
                <a:miter lim="800000"/>
              </a:ln>
              <a:effectLst/>
            </c:spPr>
          </c:marker>
          <c:cat>
            <c:numRef>
              <c:extLst>
                <c:ext xmlns:c15="http://schemas.microsoft.com/office/drawing/2012/chart" uri="{02D57815-91ED-43cb-92C2-25804820EDAC}">
                  <c15:fullRef>
                    <c15:sqref>'9. SEGURIDAD Y MOVILIDAD'!$T$2:$X$2</c15:sqref>
                  </c15:fullRef>
                </c:ext>
              </c:extLst>
              <c:f>'9. SEGURIDAD Y MOVILIDAD'!$U$2:$X$2</c:f>
              <c:numCache>
                <c:formatCode>General</c:formatCode>
                <c:ptCount val="4"/>
                <c:pt idx="0">
                  <c:v>2021</c:v>
                </c:pt>
                <c:pt idx="1">
                  <c:v>2022</c:v>
                </c:pt>
                <c:pt idx="2">
                  <c:v>2023</c:v>
                </c:pt>
                <c:pt idx="3">
                  <c:v>2024</c:v>
                </c:pt>
              </c:numCache>
            </c:numRef>
          </c:cat>
          <c:val>
            <c:numRef>
              <c:extLst>
                <c:ext xmlns:c15="http://schemas.microsoft.com/office/drawing/2012/chart" uri="{02D57815-91ED-43cb-92C2-25804820EDAC}">
                  <c15:fullRef>
                    <c15:sqref>('9. SEGURIDAD Y MOVILIDAD'!$D$9,'9. SEGURIDAD Y MOVILIDAD'!$U$9:$X$9)</c15:sqref>
                  </c15:fullRef>
                </c:ext>
              </c:extLst>
              <c:f>'9. SEGURIDAD Y MOVILIDAD'!$U$9:$X$9</c:f>
              <c:numCache>
                <c:formatCode>General</c:formatCode>
                <c:ptCount val="4"/>
                <c:pt idx="0">
                  <c:v>8.1999999999999993</c:v>
                </c:pt>
                <c:pt idx="1">
                  <c:v>8.1</c:v>
                </c:pt>
                <c:pt idx="2">
                  <c:v>7.7</c:v>
                </c:pt>
                <c:pt idx="3">
                  <c:v>7.8</c:v>
                </c:pt>
              </c:numCache>
            </c:numRef>
          </c:val>
          <c:smooth val="0"/>
          <c:extLst>
            <c:ext xmlns:c16="http://schemas.microsoft.com/office/drawing/2014/chart" uri="{C3380CC4-5D6E-409C-BE32-E72D297353CC}">
              <c16:uniqueId val="{00000002-902B-406A-8008-54859E62B377}"/>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9.2 Percepción de seguridad en el barrio por la noche </a:t>
            </a:r>
            <a:r>
              <a:rPr lang="it-IT" sz="1200" b="1" i="0" u="none" strike="noStrike" kern="1200" spc="0" baseline="0">
                <a:solidFill>
                  <a:sysClr val="windowText" lastClr="000000">
                    <a:lumMod val="65000"/>
                    <a:lumOff val="35000"/>
                  </a:sysClr>
                </a:solidFill>
              </a:rPr>
              <a:t>(muy seguro/a y bastante seguro/a)</a:t>
            </a:r>
            <a:r>
              <a:rPr lang="it-IT" sz="1200" b="1"/>
              <a:t> (%)</a:t>
            </a:r>
          </a:p>
        </c:rich>
      </c:tx>
      <c:layout>
        <c:manualLayout>
          <c:xMode val="edge"/>
          <c:yMode val="edge"/>
          <c:x val="0.21419829845540653"/>
          <c:y val="2.41769112274814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MOVILIDAD'!$C$15:$D$15</c:f>
              <c:strCache>
                <c:ptCount val="2"/>
                <c:pt idx="0">
                  <c:v>Brecha (punt.porc.)</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'9. SEGURIDAD Y MOVILIDAD'!$U$2:$V$2</c15:sqref>
                  </c15:fullRef>
                </c:ext>
              </c:extLst>
              <c:f>'9. SEGURIDAD Y MOVILIDAD'!$U$2:$V$2</c:f>
              <c:numCache>
                <c:formatCode>General</c:formatCode>
                <c:ptCount val="2"/>
                <c:pt idx="0">
                  <c:v>2021</c:v>
                </c:pt>
                <c:pt idx="1">
                  <c:v>2022</c:v>
                </c:pt>
              </c:numCache>
            </c:numRef>
          </c:cat>
          <c:val>
            <c:numRef>
              <c:extLst>
                <c:ext xmlns:c15="http://schemas.microsoft.com/office/drawing/2012/chart" uri="{02D57815-91ED-43cb-92C2-25804820EDAC}">
                  <c15:fullRef>
                    <c15:sqref>'9. SEGURIDAD Y MOVILIDAD'!$P$15:$S$15</c15:sqref>
                  </c15:fullRef>
                </c:ext>
              </c:extLst>
              <c:f>('9. SEGURIDAD Y MOVILIDAD'!$P$15:$Q$15,'9. SEGURIDAD Y MOVILIDAD'!$S$15)</c:f>
              <c:numCache>
                <c:formatCode>General</c:formatCode>
                <c:ptCount val="3"/>
                <c:pt idx="0">
                  <c:v>-11.399999999999991</c:v>
                </c:pt>
                <c:pt idx="1">
                  <c:v>-14.200000000000003</c:v>
                </c:pt>
                <c:pt idx="2">
                  <c:v>-13.200000000000003</c:v>
                </c:pt>
              </c:numCache>
            </c:numRef>
          </c:val>
          <c:extLst>
            <c:ext xmlns:c16="http://schemas.microsoft.com/office/drawing/2014/chart" uri="{C3380CC4-5D6E-409C-BE32-E72D297353CC}">
              <c16:uniqueId val="{00000002-5DBD-49B4-AAF8-2F1D83F37C0E}"/>
            </c:ext>
          </c:extLst>
        </c:ser>
        <c:dLbls>
          <c:showLegendKey val="0"/>
          <c:showVal val="1"/>
          <c:showCatName val="0"/>
          <c:showSerName val="0"/>
          <c:showPercent val="0"/>
          <c:showBubbleSize val="0"/>
        </c:dLbls>
        <c:gapWidth val="219"/>
        <c:axId val="158062511"/>
        <c:axId val="1500577887"/>
      </c:barChart>
      <c:lineChart>
        <c:grouping val="standard"/>
        <c:varyColors val="0"/>
        <c:ser>
          <c:idx val="0"/>
          <c:order val="0"/>
          <c:tx>
            <c:strRef>
              <c:f>'9. SEGURIDAD Y MOVILIDAD'!$C$13:$C$13</c:f>
              <c:strCache>
                <c:ptCount val="1"/>
                <c:pt idx="0">
                  <c:v>Hombres (% muy y bastante seguros)</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solidFill>
                  <a:schemeClr val="bg2">
                    <a:lumMod val="50000"/>
                  </a:schemeClr>
                </a:solidFill>
                <a:prstDash val="solid"/>
                <a:miter lim="800000"/>
              </a:ln>
              <a:effectLst/>
            </c:spPr>
          </c:marker>
          <c:dLbls>
            <c:delete val="1"/>
          </c:dLbls>
          <c:cat>
            <c:numRef>
              <c:extLst>
                <c:ext xmlns:c15="http://schemas.microsoft.com/office/drawing/2012/chart" uri="{02D57815-91ED-43cb-92C2-25804820EDAC}">
                  <c15:fullRef>
                    <c15:sqref>'9. SEGURIDAD Y MOVILIDAD'!$P$11:$S$11</c15:sqref>
                  </c15:fullRef>
                </c:ext>
              </c:extLst>
              <c:f>('9. SEGURIDAD Y MOVILIDAD'!$P$11:$Q$11,'9. SEGURIDAD Y MOVILIDAD'!$S$11)</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'9. SEGURIDAD Y MOVILIDAD'!$P$13:$S$13</c15:sqref>
                  </c15:fullRef>
                </c:ext>
              </c:extLst>
              <c:f>('9. SEGURIDAD Y MOVILIDAD'!$P$13:$Q$13,'9. SEGURIDAD Y MOVILIDAD'!$S$13)</c:f>
              <c:numCache>
                <c:formatCode>0.0</c:formatCode>
                <c:ptCount val="3"/>
                <c:pt idx="0">
                  <c:v>69.199999999999989</c:v>
                </c:pt>
                <c:pt idx="1">
                  <c:v>77.2</c:v>
                </c:pt>
                <c:pt idx="2">
                  <c:v>72.900000000000006</c:v>
                </c:pt>
              </c:numCache>
            </c:numRef>
          </c:val>
          <c:smooth val="0"/>
          <c:extLst>
            <c:ext xmlns:c16="http://schemas.microsoft.com/office/drawing/2014/chart" uri="{C3380CC4-5D6E-409C-BE32-E72D297353CC}">
              <c16:uniqueId val="{00000003-5DBD-49B4-AAF8-2F1D83F37C0E}"/>
            </c:ext>
          </c:extLst>
        </c:ser>
        <c:ser>
          <c:idx val="1"/>
          <c:order val="1"/>
          <c:tx>
            <c:strRef>
              <c:f>'9. SEGURIDAD Y MOVILIDAD'!$C$14:$C$14</c:f>
              <c:strCache>
                <c:ptCount val="1"/>
                <c:pt idx="0">
                  <c:v>Mujeres (% muy y bastante seguras)</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solidFill>
                  <a:srgbClr val="C00000"/>
                </a:solidFill>
                <a:prstDash val="solid"/>
                <a:miter lim="800000"/>
              </a:ln>
              <a:effectLst/>
            </c:spPr>
          </c:marker>
          <c:dLbls>
            <c:delete val="1"/>
          </c:dLbls>
          <c:cat>
            <c:numRef>
              <c:extLst>
                <c:ext xmlns:c15="http://schemas.microsoft.com/office/drawing/2012/chart" uri="{02D57815-91ED-43cb-92C2-25804820EDAC}">
                  <c15:fullRef>
                    <c15:sqref>'9. SEGURIDAD Y MOVILIDAD'!$P$11:$S$11</c15:sqref>
                  </c15:fullRef>
                </c:ext>
              </c:extLst>
              <c:f>('9. SEGURIDAD Y MOVILIDAD'!$P$11:$Q$11,'9. SEGURIDAD Y MOVILIDAD'!$S$11)</c:f>
              <c:numCache>
                <c:formatCode>General</c:formatCode>
                <c:ptCount val="3"/>
                <c:pt idx="0">
                  <c:v>2016</c:v>
                </c:pt>
                <c:pt idx="1">
                  <c:v>2017</c:v>
                </c:pt>
                <c:pt idx="2">
                  <c:v>2019</c:v>
                </c:pt>
              </c:numCache>
            </c:numRef>
          </c:cat>
          <c:val>
            <c:numRef>
              <c:extLst>
                <c:ext xmlns:c15="http://schemas.microsoft.com/office/drawing/2012/chart" uri="{02D57815-91ED-43cb-92C2-25804820EDAC}">
                  <c15:fullRef>
                    <c15:sqref>'9. SEGURIDAD Y MOVILIDAD'!$P$14:$S$14</c15:sqref>
                  </c15:fullRef>
                </c:ext>
              </c:extLst>
              <c:f>('9. SEGURIDAD Y MOVILIDAD'!$P$14:$Q$14,'9. SEGURIDAD Y MOVILIDAD'!$S$14)</c:f>
              <c:numCache>
                <c:formatCode>0.0</c:formatCode>
                <c:ptCount val="3"/>
                <c:pt idx="0">
                  <c:v>57.8</c:v>
                </c:pt>
                <c:pt idx="1">
                  <c:v>63</c:v>
                </c:pt>
                <c:pt idx="2">
                  <c:v>59.7</c:v>
                </c:pt>
              </c:numCache>
            </c:numRef>
          </c:val>
          <c:smooth val="0"/>
          <c:extLst>
            <c:ext xmlns:c16="http://schemas.microsoft.com/office/drawing/2014/chart" uri="{C3380CC4-5D6E-409C-BE32-E72D297353CC}">
              <c16:uniqueId val="{00000004-5DBD-49B4-AAF8-2F1D83F37C0E}"/>
            </c:ext>
          </c:extLst>
        </c:ser>
        <c:dLbls>
          <c:showLegendKey val="0"/>
          <c:showVal val="1"/>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max val="100"/>
          <c:min val="-4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200" b="1"/>
              <a:t>9.2 Percepción de seguridad en el barrio por la noche </a:t>
            </a:r>
            <a:r>
              <a:rPr lang="it-IT" sz="1200" b="1" i="0" u="none" strike="noStrike" kern="1200" spc="0" baseline="0">
                <a:solidFill>
                  <a:sysClr val="windowText" lastClr="000000">
                    <a:lumMod val="65000"/>
                    <a:lumOff val="35000"/>
                  </a:sysClr>
                </a:solidFill>
              </a:rPr>
              <a:t>(media en escala 0-10)</a:t>
            </a:r>
            <a:endParaRPr lang="it-IT" sz="1200" b="1"/>
          </a:p>
        </c:rich>
      </c:tx>
      <c:layout>
        <c:manualLayout>
          <c:xMode val="edge"/>
          <c:yMode val="edge"/>
          <c:x val="0.23183787758910321"/>
          <c:y val="2.8379273567206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30342340467706647"/>
          <c:y val="0.14246047701460876"/>
          <c:w val="0.67233188024128898"/>
          <c:h val="0.60295497322401503"/>
        </c:manualLayout>
      </c:layout>
      <c:barChart>
        <c:barDir val="col"/>
        <c:grouping val="clustered"/>
        <c:varyColors val="0"/>
        <c:ser>
          <c:idx val="2"/>
          <c:order val="2"/>
          <c:tx>
            <c:strRef>
              <c:f>'9. SEGURIDAD Y MOVILIDAD'!$C$19</c:f>
              <c:strCache>
                <c:ptCount val="1"/>
                <c:pt idx="0">
                  <c:v>Brecha (Media)</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2021</c:v>
              </c:pt>
              <c:pt idx="1">
                <c:v>2022</c:v>
              </c:pt>
              <c:pt idx="2">
                <c:v>2023</c:v>
              </c:pt>
              <c:pt idx="3">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MOVILIDAD'!$D$19,'9. SEGURIDAD Y MOVILIDAD'!$U$19:$X$19)</c15:sqref>
                  </c15:fullRef>
                </c:ext>
              </c:extLst>
              <c:f>'9. SEGURIDAD Y MOVILIDAD'!$U$19:$X$19</c:f>
              <c:numCache>
                <c:formatCode>General</c:formatCode>
                <c:ptCount val="4"/>
                <c:pt idx="0">
                  <c:v>-0.5</c:v>
                </c:pt>
                <c:pt idx="1">
                  <c:v>-0.5</c:v>
                </c:pt>
                <c:pt idx="2">
                  <c:v>-0.40000000000000036</c:v>
                </c:pt>
                <c:pt idx="3">
                  <c:v>-0.5</c:v>
                </c:pt>
              </c:numCache>
            </c:numRef>
          </c:val>
          <c:extLst>
            <c:ext xmlns:c16="http://schemas.microsoft.com/office/drawing/2014/chart" uri="{C3380CC4-5D6E-409C-BE32-E72D297353CC}">
              <c16:uniqueId val="{00000000-3793-4B69-9046-543B503E9EDD}"/>
            </c:ext>
          </c:extLst>
        </c:ser>
        <c:dLbls>
          <c:showLegendKey val="0"/>
          <c:showVal val="0"/>
          <c:showCatName val="0"/>
          <c:showSerName val="0"/>
          <c:showPercent val="0"/>
          <c:showBubbleSize val="0"/>
        </c:dLbls>
        <c:gapWidth val="219"/>
        <c:axId val="158062511"/>
        <c:axId val="1500577887"/>
      </c:barChart>
      <c:lineChart>
        <c:grouping val="standard"/>
        <c:varyColors val="0"/>
        <c:ser>
          <c:idx val="0"/>
          <c:order val="0"/>
          <c:tx>
            <c:strRef>
              <c:f>'9. SEGURIDAD Y MOVILIDAD'!$C$17</c:f>
              <c:strCache>
                <c:ptCount val="1"/>
                <c:pt idx="0">
                  <c:v>Hombres (Media escala 0-10)</c:v>
                </c:pt>
              </c:strCache>
            </c:strRef>
          </c:tx>
          <c:spPr>
            <a:ln w="19050" cap="flat" cmpd="sng" algn="ctr">
              <a:solidFill>
                <a:schemeClr val="bg2">
                  <a:lumMod val="50000"/>
                </a:schemeClr>
              </a:solidFill>
              <a:prstDash val="solid"/>
              <a:miter lim="800000"/>
            </a:ln>
            <a:effectLst/>
          </c:spPr>
          <c:marker>
            <c:symbol val="circle"/>
            <c:size val="5"/>
            <c:spPr>
              <a:solidFill>
                <a:schemeClr val="bg2">
                  <a:lumMod val="50000"/>
                </a:schemeClr>
              </a:solidFill>
              <a:ln w="12700" cap="flat" cmpd="sng" algn="ctr">
                <a:solidFill>
                  <a:schemeClr val="bg2">
                    <a:lumMod val="50000"/>
                  </a:schemeClr>
                </a:solidFill>
                <a:prstDash val="solid"/>
                <a:miter lim="800000"/>
              </a:ln>
              <a:effectLst/>
            </c:spPr>
          </c:marker>
          <c:cat>
            <c:numRef>
              <c:extLst>
                <c:ext xmlns:c15="http://schemas.microsoft.com/office/drawing/2012/chart" uri="{02D57815-91ED-43cb-92C2-25804820EDAC}">
                  <c15:fullRef>
                    <c15:sqref>'9. SEGURIDAD Y MOVILIDAD'!$T$11:$X$11</c15:sqref>
                  </c15:fullRef>
                </c:ext>
              </c:extLst>
              <c:f>'9. SEGURIDAD Y MOVILIDAD'!$U$11:$X$11</c:f>
              <c:numCache>
                <c:formatCode>General</c:formatCode>
                <c:ptCount val="4"/>
                <c:pt idx="0">
                  <c:v>2021</c:v>
                </c:pt>
                <c:pt idx="1">
                  <c:v>2022</c:v>
                </c:pt>
                <c:pt idx="2">
                  <c:v>2023</c:v>
                </c:pt>
                <c:pt idx="3">
                  <c:v>2024</c:v>
                </c:pt>
              </c:numCache>
            </c:numRef>
          </c:cat>
          <c:val>
            <c:numRef>
              <c:extLst>
                <c:ext xmlns:c15="http://schemas.microsoft.com/office/drawing/2012/chart" uri="{02D57815-91ED-43cb-92C2-25804820EDAC}">
                  <c15:fullRef>
                    <c15:sqref>('9. SEGURIDAD Y MOVILIDAD'!$D$17,'9. SEGURIDAD Y MOVILIDAD'!$U$17:$X$17)</c15:sqref>
                  </c15:fullRef>
                </c:ext>
              </c:extLst>
              <c:f>'9. SEGURIDAD Y MOVILIDAD'!$U$17:$X$17</c:f>
              <c:numCache>
                <c:formatCode>0.0</c:formatCode>
                <c:ptCount val="4"/>
                <c:pt idx="0">
                  <c:v>7</c:v>
                </c:pt>
                <c:pt idx="1">
                  <c:v>7.1</c:v>
                </c:pt>
                <c:pt idx="2" formatCode="General">
                  <c:v>6.7</c:v>
                </c:pt>
                <c:pt idx="3" formatCode="General">
                  <c:v>6.6</c:v>
                </c:pt>
              </c:numCache>
            </c:numRef>
          </c:val>
          <c:smooth val="0"/>
          <c:extLst>
            <c:ext xmlns:c16="http://schemas.microsoft.com/office/drawing/2014/chart" uri="{C3380CC4-5D6E-409C-BE32-E72D297353CC}">
              <c16:uniqueId val="{00000001-3793-4B69-9046-543B503E9EDD}"/>
            </c:ext>
          </c:extLst>
        </c:ser>
        <c:ser>
          <c:idx val="1"/>
          <c:order val="1"/>
          <c:tx>
            <c:strRef>
              <c:f>'9. SEGURIDAD Y MOVILIDAD'!$C$18</c:f>
              <c:strCache>
                <c:ptCount val="1"/>
                <c:pt idx="0">
                  <c:v>Mujeres (Media escala 0-10)</c:v>
                </c:pt>
              </c:strCache>
            </c:strRef>
          </c:tx>
          <c:spPr>
            <a:ln w="19050" cap="flat" cmpd="sng" algn="ctr">
              <a:solidFill>
                <a:srgbClr val="C00000"/>
              </a:solidFill>
              <a:prstDash val="solid"/>
              <a:miter lim="800000"/>
            </a:ln>
            <a:effectLst/>
          </c:spPr>
          <c:marker>
            <c:symbol val="circle"/>
            <c:size val="5"/>
            <c:spPr>
              <a:solidFill>
                <a:srgbClr val="C00000"/>
              </a:solidFill>
              <a:ln w="12700" cap="flat" cmpd="sng" algn="ctr">
                <a:solidFill>
                  <a:srgbClr val="C00000"/>
                </a:solidFill>
                <a:prstDash val="solid"/>
                <a:miter lim="800000"/>
              </a:ln>
              <a:effectLst/>
            </c:spPr>
          </c:marker>
          <c:cat>
            <c:numRef>
              <c:extLst>
                <c:ext xmlns:c15="http://schemas.microsoft.com/office/drawing/2012/chart" uri="{02D57815-91ED-43cb-92C2-25804820EDAC}">
                  <c15:fullRef>
                    <c15:sqref>'9. SEGURIDAD Y MOVILIDAD'!$T$11:$X$11</c15:sqref>
                  </c15:fullRef>
                </c:ext>
              </c:extLst>
              <c:f>'9. SEGURIDAD Y MOVILIDAD'!$U$11:$X$11</c:f>
              <c:numCache>
                <c:formatCode>General</c:formatCode>
                <c:ptCount val="4"/>
                <c:pt idx="0">
                  <c:v>2021</c:v>
                </c:pt>
                <c:pt idx="1">
                  <c:v>2022</c:v>
                </c:pt>
                <c:pt idx="2">
                  <c:v>2023</c:v>
                </c:pt>
                <c:pt idx="3">
                  <c:v>2024</c:v>
                </c:pt>
              </c:numCache>
            </c:numRef>
          </c:cat>
          <c:val>
            <c:numRef>
              <c:extLst>
                <c:ext xmlns:c15="http://schemas.microsoft.com/office/drawing/2012/chart" uri="{02D57815-91ED-43cb-92C2-25804820EDAC}">
                  <c15:fullRef>
                    <c15:sqref>('9. SEGURIDAD Y MOVILIDAD'!$D$18,'9. SEGURIDAD Y MOVILIDAD'!$U$18:$X$18)</c15:sqref>
                  </c15:fullRef>
                </c:ext>
              </c:extLst>
              <c:f>'9. SEGURIDAD Y MOVILIDAD'!$U$18:$X$18</c:f>
              <c:numCache>
                <c:formatCode>0.0</c:formatCode>
                <c:ptCount val="4"/>
                <c:pt idx="0">
                  <c:v>6.5</c:v>
                </c:pt>
                <c:pt idx="1">
                  <c:v>6.6</c:v>
                </c:pt>
                <c:pt idx="2" formatCode="General">
                  <c:v>6.3</c:v>
                </c:pt>
                <c:pt idx="3" formatCode="General">
                  <c:v>6.1</c:v>
                </c:pt>
              </c:numCache>
            </c:numRef>
          </c:val>
          <c:smooth val="0"/>
          <c:extLst>
            <c:ext xmlns:c16="http://schemas.microsoft.com/office/drawing/2014/chart" uri="{C3380CC4-5D6E-409C-BE32-E72D297353CC}">
              <c16:uniqueId val="{00000002-3793-4B69-9046-543B503E9EDD}"/>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max val="10"/>
          <c:min val="-2"/>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9.4a. Personas adultas que han sido condenadas por sentencia firme (%)</a:t>
            </a:r>
          </a:p>
        </c:rich>
      </c:tx>
      <c:layout>
        <c:manualLayout>
          <c:xMode val="edge"/>
          <c:yMode val="edge"/>
          <c:x val="0.1940609096577452"/>
          <c:y val="2.375378602833414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MOVILIDAD'!$C$29:$D$29</c:f>
              <c:strCache>
                <c:ptCount val="2"/>
                <c:pt idx="0">
                  <c:v>Brecha (N)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2020</c:v>
              </c:pt>
              <c:pt idx="1">
                <c:v>2021</c:v>
              </c:pt>
              <c:pt idx="2">
                <c:v>2022</c:v>
              </c:pt>
              <c:pt idx="3">
                <c:v>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MOVILIDAD'!$J$29:$W$29</c15:sqref>
                  </c15:fullRef>
                </c:ext>
              </c:extLst>
              <c:f>'9. SEGURIDAD Y MOVILIDAD'!$T$29:$W$29</c:f>
              <c:numCache>
                <c:formatCode>#,##0.0</c:formatCode>
                <c:ptCount val="4"/>
                <c:pt idx="0" formatCode="_-* #,##0_-;\-* #,##0_-;_-* &quot;-&quot;??_-;_-@_-">
                  <c:v>-14602</c:v>
                </c:pt>
                <c:pt idx="1" formatCode="_-* #,##0_-;\-* #,##0_-;_-* &quot;-&quot;??_-;_-@_-">
                  <c:v>-18409</c:v>
                </c:pt>
                <c:pt idx="2" formatCode="_-* #,##0_-;\-* #,##0_-;_-* &quot;-&quot;??_-;_-@_-">
                  <c:v>-20157</c:v>
                </c:pt>
                <c:pt idx="3" formatCode="0">
                  <c:v>-26855</c:v>
                </c:pt>
              </c:numCache>
            </c:numRef>
          </c:val>
          <c:extLst>
            <c:ext xmlns:c16="http://schemas.microsoft.com/office/drawing/2014/chart" uri="{C3380CC4-5D6E-409C-BE32-E72D297353CC}">
              <c16:uniqueId val="{00000006-CDCB-4FD4-9CA4-E1221073A2D3}"/>
            </c:ext>
          </c:extLst>
        </c:ser>
        <c:dLbls>
          <c:showLegendKey val="0"/>
          <c:showVal val="0"/>
          <c:showCatName val="0"/>
          <c:showSerName val="0"/>
          <c:showPercent val="0"/>
          <c:showBubbleSize val="0"/>
        </c:dLbls>
        <c:gapWidth val="219"/>
        <c:overlap val="20"/>
        <c:axId val="1638109328"/>
        <c:axId val="1675722816"/>
      </c:barChart>
      <c:lineChart>
        <c:grouping val="standard"/>
        <c:varyColors val="0"/>
        <c:ser>
          <c:idx val="0"/>
          <c:order val="0"/>
          <c:tx>
            <c:strRef>
              <c:f>'9. SEGURIDAD Y MOVILIDAD'!$C$27:$D$27</c:f>
              <c:strCache>
                <c:ptCount val="2"/>
                <c:pt idx="0">
                  <c:v>Hombres (N)</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'9. SEGURIDAD Y MOVILIDAD'!$J$25:$W$25</c15:sqref>
                  </c15:fullRef>
                </c:ext>
              </c:extLst>
              <c:f>'9. SEGURIDAD Y MOVILIDAD'!$T$25:$W$25</c:f>
              <c:numCache>
                <c:formatCode>General</c:formatCode>
                <c:ptCount val="4"/>
                <c:pt idx="0">
                  <c:v>2020</c:v>
                </c:pt>
                <c:pt idx="1">
                  <c:v>2021</c:v>
                </c:pt>
                <c:pt idx="2">
                  <c:v>2022</c:v>
                </c:pt>
                <c:pt idx="3">
                  <c:v>2023</c:v>
                </c:pt>
              </c:numCache>
            </c:numRef>
          </c:cat>
          <c:val>
            <c:numRef>
              <c:extLst>
                <c:ext xmlns:c15="http://schemas.microsoft.com/office/drawing/2012/chart" uri="{02D57815-91ED-43cb-92C2-25804820EDAC}">
                  <c15:fullRef>
                    <c15:sqref>'9. SEGURIDAD Y MOVILIDAD'!$J$27:$W$27</c15:sqref>
                  </c15:fullRef>
                </c:ext>
              </c:extLst>
              <c:f>'9. SEGURIDAD Y MOVILIDAD'!$T$27:$W$27</c:f>
              <c:numCache>
                <c:formatCode>#,##0</c:formatCode>
                <c:ptCount val="4"/>
                <c:pt idx="0">
                  <c:v>21500</c:v>
                </c:pt>
                <c:pt idx="1">
                  <c:v>26764</c:v>
                </c:pt>
                <c:pt idx="2">
                  <c:v>28903</c:v>
                </c:pt>
                <c:pt idx="3">
                  <c:v>37379</c:v>
                </c:pt>
              </c:numCache>
            </c:numRef>
          </c:val>
          <c:smooth val="0"/>
          <c:extLst>
            <c:ext xmlns:c16="http://schemas.microsoft.com/office/drawing/2014/chart" uri="{C3380CC4-5D6E-409C-BE32-E72D297353CC}">
              <c16:uniqueId val="{00000007-CDCB-4FD4-9CA4-E1221073A2D3}"/>
            </c:ext>
          </c:extLst>
        </c:ser>
        <c:ser>
          <c:idx val="1"/>
          <c:order val="1"/>
          <c:tx>
            <c:strRef>
              <c:f>'9. SEGURIDAD Y MOVILIDAD'!$C$28:$D$28</c:f>
              <c:strCache>
                <c:ptCount val="2"/>
                <c:pt idx="0">
                  <c:v>Mujeres (N)</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'9. SEGURIDAD Y MOVILIDAD'!$J$25:$W$25</c15:sqref>
                  </c15:fullRef>
                </c:ext>
              </c:extLst>
              <c:f>'9. SEGURIDAD Y MOVILIDAD'!$T$25:$W$25</c:f>
              <c:numCache>
                <c:formatCode>General</c:formatCode>
                <c:ptCount val="4"/>
                <c:pt idx="0">
                  <c:v>2020</c:v>
                </c:pt>
                <c:pt idx="1">
                  <c:v>2021</c:v>
                </c:pt>
                <c:pt idx="2">
                  <c:v>2022</c:v>
                </c:pt>
                <c:pt idx="3">
                  <c:v>2023</c:v>
                </c:pt>
              </c:numCache>
            </c:numRef>
          </c:cat>
          <c:val>
            <c:numRef>
              <c:extLst>
                <c:ext xmlns:c15="http://schemas.microsoft.com/office/drawing/2012/chart" uri="{02D57815-91ED-43cb-92C2-25804820EDAC}">
                  <c15:fullRef>
                    <c15:sqref>'9. SEGURIDAD Y MOVILIDAD'!$J$28:$W$28</c15:sqref>
                  </c15:fullRef>
                </c:ext>
              </c:extLst>
              <c:f>'9. SEGURIDAD Y MOVILIDAD'!$T$28:$W$28</c:f>
              <c:numCache>
                <c:formatCode>#,##0</c:formatCode>
                <c:ptCount val="4"/>
                <c:pt idx="0">
                  <c:v>6898</c:v>
                </c:pt>
                <c:pt idx="1">
                  <c:v>8355</c:v>
                </c:pt>
                <c:pt idx="2">
                  <c:v>8746</c:v>
                </c:pt>
                <c:pt idx="3">
                  <c:v>10524</c:v>
                </c:pt>
              </c:numCache>
            </c:numRef>
          </c:val>
          <c:smooth val="0"/>
          <c:extLst>
            <c:ext xmlns:c16="http://schemas.microsoft.com/office/drawing/2014/chart" uri="{C3380CC4-5D6E-409C-BE32-E72D297353CC}">
              <c16:uniqueId val="{00000008-CDCB-4FD4-9CA4-E1221073A2D3}"/>
            </c:ext>
          </c:extLst>
        </c:ser>
        <c:dLbls>
          <c:showLegendKey val="0"/>
          <c:showVal val="0"/>
          <c:showCatName val="0"/>
          <c:showSerName val="0"/>
          <c:showPercent val="0"/>
          <c:showBubbleSize val="0"/>
        </c:dLbls>
        <c:marker val="1"/>
        <c:smooth val="0"/>
        <c:axId val="1638109328"/>
        <c:axId val="1675722816"/>
      </c:lineChart>
      <c:lineChart>
        <c:grouping val="standard"/>
        <c:varyColors val="0"/>
        <c:dLbls>
          <c:showLegendKey val="0"/>
          <c:showVal val="0"/>
          <c:showCatName val="0"/>
          <c:showSerName val="0"/>
          <c:showPercent val="0"/>
          <c:showBubbleSize val="0"/>
        </c:dLbls>
        <c:marker val="1"/>
        <c:smooth val="0"/>
        <c:axId val="637985576"/>
        <c:axId val="637986296"/>
        <c:extLst>
          <c:ext xmlns:c15="http://schemas.microsoft.com/office/drawing/2012/chart" uri="{02D57815-91ED-43cb-92C2-25804820EDAC}">
            <c15:filteredLineSeries>
              <c15:ser>
                <c:idx val="3"/>
                <c:order val="3"/>
                <c:tx>
                  <c:strRef>
                    <c:extLst>
                      <c:ext uri="{02D57815-91ED-43cb-92C2-25804820EDAC}">
                        <c15:formulaRef>
                          <c15:sqref>'9. SEGURIDAD Y MOVILIDAD'!$C$30:$D$30</c15:sqref>
                        </c15:formulaRef>
                      </c:ext>
                    </c:extLst>
                    <c:strCache>
                      <c:ptCount val="2"/>
                      <c:pt idx="0">
                        <c:v>% Mujeres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uri="{02D57815-91ED-43cb-92C2-25804820EDAC}">
                        <c15:fullRef>
                          <c15:sqref>'9. SEGURIDAD Y MOVILIDAD'!$J$25:$W$25</c15:sqref>
                        </c15:fullRef>
                        <c15:formulaRef>
                          <c15:sqref>'9. SEGURIDAD Y MOVILIDAD'!$T$25:$W$25</c15:sqref>
                        </c15:formulaRef>
                      </c:ext>
                    </c:extLst>
                    <c:numCache>
                      <c:formatCode>General</c:formatCode>
                      <c:ptCount val="4"/>
                      <c:pt idx="0">
                        <c:v>2020</c:v>
                      </c:pt>
                      <c:pt idx="1">
                        <c:v>2021</c:v>
                      </c:pt>
                      <c:pt idx="2">
                        <c:v>2022</c:v>
                      </c:pt>
                      <c:pt idx="3">
                        <c:v>2023</c:v>
                      </c:pt>
                    </c:numCache>
                  </c:numRef>
                </c:cat>
                <c:val>
                  <c:numRef>
                    <c:extLst>
                      <c:ext uri="{02D57815-91ED-43cb-92C2-25804820EDAC}">
                        <c15:fullRef>
                          <c15:sqref>'9. SEGURIDAD Y MOVILIDAD'!$J$30:$W$30</c15:sqref>
                        </c15:fullRef>
                        <c15:formulaRef>
                          <c15:sqref>'9. SEGURIDAD Y MOVILIDAD'!$T$30:$W$30</c15:sqref>
                        </c15:formulaRef>
                      </c:ext>
                    </c:extLst>
                    <c:numCache>
                      <c:formatCode>#,##0.0</c:formatCode>
                      <c:ptCount val="4"/>
                      <c:pt idx="0" formatCode="0.0">
                        <c:v>24.290442988942885</c:v>
                      </c:pt>
                      <c:pt idx="1" formatCode="0.0">
                        <c:v>23.790540732936588</c:v>
                      </c:pt>
                      <c:pt idx="2" formatCode="0.0">
                        <c:v>23.230364684320964</c:v>
                      </c:pt>
                      <c:pt idx="3" formatCode="0.0">
                        <c:v>21.969396488737658</c:v>
                      </c:pt>
                    </c:numCache>
                  </c:numRef>
                </c:val>
                <c:smooth val="0"/>
                <c:extLst>
                  <c:ext xmlns:c16="http://schemas.microsoft.com/office/drawing/2014/chart" uri="{C3380CC4-5D6E-409C-BE32-E72D297353CC}">
                    <c16:uniqueId val="{0000000B-E139-4547-9C52-5F1AD4B541B6}"/>
                  </c:ext>
                </c:extLst>
              </c15:ser>
            </c15:filteredLineSeries>
          </c:ext>
        </c:extLst>
      </c:lineChart>
      <c:catAx>
        <c:axId val="1638109328"/>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75722816"/>
        <c:crosses val="autoZero"/>
        <c:auto val="1"/>
        <c:lblAlgn val="ctr"/>
        <c:lblOffset val="100"/>
        <c:noMultiLvlLbl val="0"/>
      </c:catAx>
      <c:valAx>
        <c:axId val="1675722816"/>
        <c:scaling>
          <c:orientation val="minMax"/>
        </c:scaling>
        <c:delete val="0"/>
        <c:axPos val="l"/>
        <c:majorGridlines>
          <c:spPr>
            <a:ln w="9525" cap="flat" cmpd="sng" algn="ctr">
              <a:noFill/>
              <a:round/>
            </a:ln>
            <a:effectLst/>
          </c:spPr>
        </c:majorGridlines>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38109328"/>
        <c:crosses val="autoZero"/>
        <c:crossBetween val="between"/>
      </c:valAx>
      <c:valAx>
        <c:axId val="637986296"/>
        <c:scaling>
          <c:orientation val="minMax"/>
        </c:scaling>
        <c:delete val="0"/>
        <c:axPos val="r"/>
        <c:numFmt formatCode="0.0" sourceLinked="1"/>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37985576"/>
        <c:crosses val="max"/>
        <c:crossBetween val="between"/>
      </c:valAx>
      <c:catAx>
        <c:axId val="637985576"/>
        <c:scaling>
          <c:orientation val="minMax"/>
        </c:scaling>
        <c:delete val="1"/>
        <c:axPos val="b"/>
        <c:numFmt formatCode="General" sourceLinked="1"/>
        <c:majorTickMark val="out"/>
        <c:minorTickMark val="none"/>
        <c:tickLblPos val="nextTo"/>
        <c:crossAx val="63798629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6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9.6 Personas implicadas en accidentes de tráfico - Pasajeros/as</a:t>
            </a:r>
          </a:p>
        </c:rich>
      </c:tx>
      <c:layout>
        <c:manualLayout>
          <c:xMode val="edge"/>
          <c:yMode val="edge"/>
          <c:x val="0.1857205265653763"/>
          <c:y val="2.500115947236081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9"/>
          <c:order val="2"/>
          <c:tx>
            <c:strRef>
              <c:f>'9. SEGURIDAD Y MOVILIDAD'!$C$94:$C$95</c:f>
              <c:strCache>
                <c:ptCount val="1"/>
                <c:pt idx="0">
                  <c:v>Brecha(N)</c:v>
                </c:pt>
              </c:strCache>
            </c:strRef>
          </c:tx>
          <c:spPr>
            <a:solidFill>
              <a:srgbClr val="FF89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 SEGURIDAD Y MOVILIDAD'!$T$88:$X$88</c:f>
              <c:numCache>
                <c:formatCode>General</c:formatCode>
                <c:ptCount val="5"/>
                <c:pt idx="0">
                  <c:v>2020</c:v>
                </c:pt>
                <c:pt idx="1">
                  <c:v>2021</c:v>
                </c:pt>
                <c:pt idx="2">
                  <c:v>2022</c:v>
                </c:pt>
                <c:pt idx="3">
                  <c:v>2023</c:v>
                </c:pt>
                <c:pt idx="4">
                  <c:v>2024</c:v>
                </c:pt>
              </c:numCache>
            </c:numRef>
          </c:cat>
          <c:val>
            <c:numRef>
              <c:f>'9. SEGURIDAD Y MOVILIDAD'!$T$95:$X$95</c:f>
              <c:numCache>
                <c:formatCode>_-* #,##0_-;\-* #,##0_-;_-* "-"??_-;_-@_-</c:formatCode>
                <c:ptCount val="5"/>
                <c:pt idx="0">
                  <c:v>690</c:v>
                </c:pt>
                <c:pt idx="1">
                  <c:v>1081</c:v>
                </c:pt>
                <c:pt idx="2">
                  <c:v>1180</c:v>
                </c:pt>
                <c:pt idx="3">
                  <c:v>1267</c:v>
                </c:pt>
                <c:pt idx="4">
                  <c:v>1315</c:v>
                </c:pt>
              </c:numCache>
            </c:numRef>
          </c:val>
          <c:extLst>
            <c:ext xmlns:c16="http://schemas.microsoft.com/office/drawing/2014/chart" uri="{C3380CC4-5D6E-409C-BE32-E72D297353CC}">
              <c16:uniqueId val="{00000006-922D-485A-98D1-53C4A4608BE7}"/>
            </c:ext>
          </c:extLst>
        </c:ser>
        <c:dLbls>
          <c:showLegendKey val="0"/>
          <c:showVal val="0"/>
          <c:showCatName val="0"/>
          <c:showSerName val="0"/>
          <c:showPercent val="0"/>
          <c:showBubbleSize val="0"/>
        </c:dLbls>
        <c:gapWidth val="150"/>
        <c:overlap val="100"/>
        <c:axId val="1638109328"/>
        <c:axId val="1675722816"/>
      </c:barChart>
      <c:lineChart>
        <c:grouping val="standard"/>
        <c:varyColors val="0"/>
        <c:ser>
          <c:idx val="7"/>
          <c:order val="0"/>
          <c:tx>
            <c:strRef>
              <c:f>'9. SEGURIDAD Y MOVILIDAD'!$C$90:$C$91</c:f>
              <c:strCache>
                <c:ptCount val="1"/>
                <c:pt idx="0">
                  <c:v>Hombres(N)</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f>'9. SEGURIDAD Y MOVILIDAD'!$T$88:$X$88</c:f>
              <c:numCache>
                <c:formatCode>General</c:formatCode>
                <c:ptCount val="5"/>
                <c:pt idx="0">
                  <c:v>2020</c:v>
                </c:pt>
                <c:pt idx="1">
                  <c:v>2021</c:v>
                </c:pt>
                <c:pt idx="2">
                  <c:v>2022</c:v>
                </c:pt>
                <c:pt idx="3">
                  <c:v>2023</c:v>
                </c:pt>
                <c:pt idx="4">
                  <c:v>2024</c:v>
                </c:pt>
              </c:numCache>
            </c:numRef>
          </c:cat>
          <c:val>
            <c:numRef>
              <c:f>'9. SEGURIDAD Y MOVILIDAD'!$T$91:$X$91</c:f>
              <c:numCache>
                <c:formatCode>_-* #,##0_-;\-* #,##0_-;_-* "-"??_-;_-@_-</c:formatCode>
                <c:ptCount val="5"/>
                <c:pt idx="0">
                  <c:v>2055</c:v>
                </c:pt>
                <c:pt idx="1">
                  <c:v>2782</c:v>
                </c:pt>
                <c:pt idx="2">
                  <c:v>3061</c:v>
                </c:pt>
                <c:pt idx="3">
                  <c:v>3313</c:v>
                </c:pt>
                <c:pt idx="4">
                  <c:v>3420</c:v>
                </c:pt>
              </c:numCache>
            </c:numRef>
          </c:val>
          <c:smooth val="0"/>
          <c:extLst>
            <c:ext xmlns:c16="http://schemas.microsoft.com/office/drawing/2014/chart" uri="{C3380CC4-5D6E-409C-BE32-E72D297353CC}">
              <c16:uniqueId val="{00000004-922D-485A-98D1-53C4A4608BE7}"/>
            </c:ext>
          </c:extLst>
        </c:ser>
        <c:ser>
          <c:idx val="8"/>
          <c:order val="1"/>
          <c:tx>
            <c:strRef>
              <c:f>'9. SEGURIDAD Y MOVILIDAD'!$C$92:$C$93</c:f>
              <c:strCache>
                <c:ptCount val="1"/>
                <c:pt idx="0">
                  <c:v>Mujeres(N)</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f>'9. SEGURIDAD Y MOVILIDAD'!$T$88:$X$88</c:f>
              <c:numCache>
                <c:formatCode>General</c:formatCode>
                <c:ptCount val="5"/>
                <c:pt idx="0">
                  <c:v>2020</c:v>
                </c:pt>
                <c:pt idx="1">
                  <c:v>2021</c:v>
                </c:pt>
                <c:pt idx="2">
                  <c:v>2022</c:v>
                </c:pt>
                <c:pt idx="3">
                  <c:v>2023</c:v>
                </c:pt>
                <c:pt idx="4">
                  <c:v>2024</c:v>
                </c:pt>
              </c:numCache>
            </c:numRef>
          </c:cat>
          <c:val>
            <c:numRef>
              <c:f>'9. SEGURIDAD Y MOVILIDAD'!$T$93:$X$93</c:f>
              <c:numCache>
                <c:formatCode>_-* #,##0_-;\-* #,##0_-;_-* "-"??_-;_-@_-</c:formatCode>
                <c:ptCount val="5"/>
                <c:pt idx="0">
                  <c:v>2745</c:v>
                </c:pt>
                <c:pt idx="1">
                  <c:v>3863</c:v>
                </c:pt>
                <c:pt idx="2">
                  <c:v>4241</c:v>
                </c:pt>
                <c:pt idx="3">
                  <c:v>4580</c:v>
                </c:pt>
                <c:pt idx="4">
                  <c:v>4735</c:v>
                </c:pt>
              </c:numCache>
            </c:numRef>
          </c:val>
          <c:smooth val="0"/>
          <c:extLst>
            <c:ext xmlns:c16="http://schemas.microsoft.com/office/drawing/2014/chart" uri="{C3380CC4-5D6E-409C-BE32-E72D297353CC}">
              <c16:uniqueId val="{00000005-922D-485A-98D1-53C4A4608BE7}"/>
            </c:ext>
          </c:extLst>
        </c:ser>
        <c:dLbls>
          <c:showLegendKey val="0"/>
          <c:showVal val="0"/>
          <c:showCatName val="0"/>
          <c:showSerName val="0"/>
          <c:showPercent val="0"/>
          <c:showBubbleSize val="0"/>
        </c:dLbls>
        <c:marker val="1"/>
        <c:smooth val="0"/>
        <c:axId val="1638109328"/>
        <c:axId val="1675722816"/>
      </c:lineChart>
      <c:catAx>
        <c:axId val="163810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75722816"/>
        <c:crosses val="autoZero"/>
        <c:auto val="1"/>
        <c:lblAlgn val="ctr"/>
        <c:lblOffset val="100"/>
        <c:noMultiLvlLbl val="0"/>
      </c:catAx>
      <c:valAx>
        <c:axId val="1675722816"/>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381093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9.6 Personas implicadas en accidentes de tráfico</a:t>
            </a:r>
            <a:r>
              <a:rPr lang="it-IT" sz="1200" b="1" baseline="0"/>
              <a:t> - Conductores/as</a:t>
            </a:r>
            <a:endParaRPr lang="it-IT" sz="1200" b="1"/>
          </a:p>
        </c:rich>
      </c:tx>
      <c:layout>
        <c:manualLayout>
          <c:xMode val="edge"/>
          <c:yMode val="edge"/>
          <c:x val="0.16130015139224474"/>
          <c:y val="2.122560385055615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3"/>
          <c:order val="2"/>
          <c:tx>
            <c:strRef>
              <c:f>'9. SEGURIDAD Y MOVILIDAD'!$C$94:$C$95</c:f>
              <c:strCache>
                <c:ptCount val="1"/>
                <c:pt idx="0">
                  <c:v>Brecha(N)</c:v>
                </c:pt>
              </c:strCache>
            </c:strRef>
          </c:tx>
          <c:spPr>
            <a:solidFill>
              <a:srgbClr val="FF8989"/>
            </a:solidFill>
            <a:ln>
              <a:noFill/>
            </a:ln>
            <a:effectLst/>
          </c:spPr>
          <c:invertIfNegative val="0"/>
          <c:dPt>
            <c:idx val="0"/>
            <c:invertIfNegative val="0"/>
            <c:bubble3D val="0"/>
            <c:spPr>
              <a:solidFill>
                <a:srgbClr val="FF8989"/>
              </a:solidFill>
              <a:ln>
                <a:noFill/>
              </a:ln>
              <a:effectLst/>
            </c:spPr>
            <c:extLst>
              <c:ext xmlns:c16="http://schemas.microsoft.com/office/drawing/2014/chart" uri="{C3380CC4-5D6E-409C-BE32-E72D297353CC}">
                <c16:uniqueId val="{0000001A-5C74-4C00-9A6F-E0E6E0F05C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 SEGURIDAD Y MOVILIDAD'!$T$88:$X$88</c:f>
              <c:numCache>
                <c:formatCode>General</c:formatCode>
                <c:ptCount val="5"/>
                <c:pt idx="0">
                  <c:v>2020</c:v>
                </c:pt>
                <c:pt idx="1">
                  <c:v>2021</c:v>
                </c:pt>
                <c:pt idx="2">
                  <c:v>2022</c:v>
                </c:pt>
                <c:pt idx="3">
                  <c:v>2023</c:v>
                </c:pt>
                <c:pt idx="4">
                  <c:v>2024</c:v>
                </c:pt>
              </c:numCache>
            </c:numRef>
          </c:cat>
          <c:val>
            <c:numRef>
              <c:f>'9. SEGURIDAD Y MOVILIDAD'!$T$94:$X$94</c:f>
              <c:numCache>
                <c:formatCode>_-* #,##0_-;\-* #,##0_-;_-* "-"??_-;_-@_-</c:formatCode>
                <c:ptCount val="5"/>
                <c:pt idx="0">
                  <c:v>-11351</c:v>
                </c:pt>
                <c:pt idx="1">
                  <c:v>-14190</c:v>
                </c:pt>
                <c:pt idx="2">
                  <c:v>-16073</c:v>
                </c:pt>
                <c:pt idx="3">
                  <c:v>-16729</c:v>
                </c:pt>
                <c:pt idx="4">
                  <c:v>-16936</c:v>
                </c:pt>
              </c:numCache>
            </c:numRef>
          </c:val>
          <c:extLst>
            <c:ext xmlns:c16="http://schemas.microsoft.com/office/drawing/2014/chart" uri="{C3380CC4-5D6E-409C-BE32-E72D297353CC}">
              <c16:uniqueId val="{00000018-5C74-4C00-9A6F-E0E6E0F05C70}"/>
            </c:ext>
          </c:extLst>
        </c:ser>
        <c:dLbls>
          <c:showLegendKey val="0"/>
          <c:showVal val="0"/>
          <c:showCatName val="0"/>
          <c:showSerName val="0"/>
          <c:showPercent val="0"/>
          <c:showBubbleSize val="0"/>
        </c:dLbls>
        <c:gapWidth val="150"/>
        <c:overlap val="100"/>
        <c:axId val="1638109328"/>
        <c:axId val="1675722816"/>
      </c:barChart>
      <c:lineChart>
        <c:grouping val="standard"/>
        <c:varyColors val="0"/>
        <c:ser>
          <c:idx val="1"/>
          <c:order val="0"/>
          <c:tx>
            <c:strRef>
              <c:f>'9. SEGURIDAD Y MOVILIDAD'!$C$90:$C$91</c:f>
              <c:strCache>
                <c:ptCount val="1"/>
                <c:pt idx="0">
                  <c:v>Hombres(N)</c:v>
                </c:pt>
              </c:strCache>
            </c:strRef>
          </c:tx>
          <c:spPr>
            <a:ln w="19050" cap="rnd">
              <a:solidFill>
                <a:schemeClr val="tx1">
                  <a:lumMod val="50000"/>
                  <a:lumOff val="50000"/>
                </a:schemeClr>
              </a:solidFill>
              <a:round/>
            </a:ln>
            <a:effectLst/>
          </c:spPr>
          <c:marker>
            <c:symbol val="circle"/>
            <c:size val="5"/>
            <c:spPr>
              <a:solidFill>
                <a:schemeClr val="tx1">
                  <a:lumMod val="50000"/>
                  <a:lumOff val="50000"/>
                </a:schemeClr>
              </a:solidFill>
              <a:ln w="9525">
                <a:noFill/>
              </a:ln>
              <a:effectLst/>
            </c:spPr>
          </c:marker>
          <c:cat>
            <c:numRef>
              <c:f>'9. SEGURIDAD Y MOVILIDAD'!$T$88:$X$88</c:f>
              <c:numCache>
                <c:formatCode>General</c:formatCode>
                <c:ptCount val="5"/>
                <c:pt idx="0">
                  <c:v>2020</c:v>
                </c:pt>
                <c:pt idx="1">
                  <c:v>2021</c:v>
                </c:pt>
                <c:pt idx="2">
                  <c:v>2022</c:v>
                </c:pt>
                <c:pt idx="3">
                  <c:v>2023</c:v>
                </c:pt>
                <c:pt idx="4">
                  <c:v>2024</c:v>
                </c:pt>
              </c:numCache>
            </c:numRef>
          </c:cat>
          <c:val>
            <c:numRef>
              <c:f>'9. SEGURIDAD Y MOVILIDAD'!$T$90:$X$90</c:f>
              <c:numCache>
                <c:formatCode>_-* #,##0_-;\-* #,##0_-;_-* "-"??_-;_-@_-</c:formatCode>
                <c:ptCount val="5"/>
                <c:pt idx="0">
                  <c:v>17039</c:v>
                </c:pt>
                <c:pt idx="1">
                  <c:v>21721</c:v>
                </c:pt>
                <c:pt idx="2">
                  <c:v>24576</c:v>
                </c:pt>
                <c:pt idx="3">
                  <c:v>25343</c:v>
                </c:pt>
                <c:pt idx="4">
                  <c:v>25639</c:v>
                </c:pt>
              </c:numCache>
            </c:numRef>
          </c:val>
          <c:smooth val="0"/>
          <c:extLst>
            <c:ext xmlns:c16="http://schemas.microsoft.com/office/drawing/2014/chart" uri="{C3380CC4-5D6E-409C-BE32-E72D297353CC}">
              <c16:uniqueId val="{00000016-5C74-4C00-9A6F-E0E6E0F05C70}"/>
            </c:ext>
          </c:extLst>
        </c:ser>
        <c:ser>
          <c:idx val="2"/>
          <c:order val="1"/>
          <c:tx>
            <c:strRef>
              <c:f>'9. SEGURIDAD Y MOVILIDAD'!$C$92:$C$93</c:f>
              <c:strCache>
                <c:ptCount val="1"/>
                <c:pt idx="0">
                  <c:v>Mujeres(N)</c:v>
                </c:pt>
              </c:strCache>
            </c:strRef>
          </c:tx>
          <c:spPr>
            <a:ln w="19050" cap="rnd">
              <a:solidFill>
                <a:srgbClr val="C00000"/>
              </a:solidFill>
              <a:round/>
            </a:ln>
            <a:effectLst/>
          </c:spPr>
          <c:marker>
            <c:symbol val="circle"/>
            <c:size val="5"/>
            <c:spPr>
              <a:solidFill>
                <a:srgbClr val="C00000"/>
              </a:solidFill>
              <a:ln w="9525">
                <a:noFill/>
              </a:ln>
              <a:effectLst/>
            </c:spPr>
          </c:marker>
          <c:cat>
            <c:numRef>
              <c:f>'9. SEGURIDAD Y MOVILIDAD'!$T$88:$X$88</c:f>
              <c:numCache>
                <c:formatCode>General</c:formatCode>
                <c:ptCount val="5"/>
                <c:pt idx="0">
                  <c:v>2020</c:v>
                </c:pt>
                <c:pt idx="1">
                  <c:v>2021</c:v>
                </c:pt>
                <c:pt idx="2">
                  <c:v>2022</c:v>
                </c:pt>
                <c:pt idx="3">
                  <c:v>2023</c:v>
                </c:pt>
                <c:pt idx="4">
                  <c:v>2024</c:v>
                </c:pt>
              </c:numCache>
            </c:numRef>
          </c:cat>
          <c:val>
            <c:numRef>
              <c:f>'9. SEGURIDAD Y MOVILIDAD'!$T$92:$X$92</c:f>
              <c:numCache>
                <c:formatCode>_-* #,##0_-;\-* #,##0_-;_-* "-"??_-;_-@_-</c:formatCode>
                <c:ptCount val="5"/>
                <c:pt idx="0">
                  <c:v>5688</c:v>
                </c:pt>
                <c:pt idx="1">
                  <c:v>7531</c:v>
                </c:pt>
                <c:pt idx="2">
                  <c:v>8503</c:v>
                </c:pt>
                <c:pt idx="3">
                  <c:v>8614</c:v>
                </c:pt>
                <c:pt idx="4">
                  <c:v>8703</c:v>
                </c:pt>
              </c:numCache>
            </c:numRef>
          </c:val>
          <c:smooth val="0"/>
          <c:extLst>
            <c:ext xmlns:c16="http://schemas.microsoft.com/office/drawing/2014/chart" uri="{C3380CC4-5D6E-409C-BE32-E72D297353CC}">
              <c16:uniqueId val="{00000017-5C74-4C00-9A6F-E0E6E0F05C70}"/>
            </c:ext>
          </c:extLst>
        </c:ser>
        <c:dLbls>
          <c:showLegendKey val="0"/>
          <c:showVal val="0"/>
          <c:showCatName val="0"/>
          <c:showSerName val="0"/>
          <c:showPercent val="0"/>
          <c:showBubbleSize val="0"/>
        </c:dLbls>
        <c:marker val="1"/>
        <c:smooth val="0"/>
        <c:axId val="1638109328"/>
        <c:axId val="1675722816"/>
      </c:lineChart>
      <c:catAx>
        <c:axId val="163810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75722816"/>
        <c:crosses val="autoZero"/>
        <c:auto val="1"/>
        <c:lblAlgn val="ctr"/>
        <c:lblOffset val="100"/>
        <c:noMultiLvlLbl val="0"/>
      </c:catAx>
      <c:valAx>
        <c:axId val="1675722816"/>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381093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9.3 Porcentaje de personas que han sido víctimas de un robo, atraco o agresión en la ciudad de Madrid en el último año</a:t>
            </a:r>
          </a:p>
        </c:rich>
      </c:tx>
      <c:layout>
        <c:manualLayout>
          <c:xMode val="edge"/>
          <c:yMode val="edge"/>
          <c:x val="0.201448163478822"/>
          <c:y val="2.395890190614190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MOVILIDAD'!$C$24</c:f>
              <c:strCache>
                <c:ptCount val="1"/>
                <c:pt idx="0">
                  <c:v>Brecha (punt.porc.)</c:v>
                </c:pt>
              </c:strCache>
            </c:strRef>
          </c:tx>
          <c:spPr>
            <a:solidFill>
              <a:srgbClr val="FF8989">
                <a:alpha val="80000"/>
              </a:srgbClr>
            </a:solidFill>
            <a:ln>
              <a:noFill/>
            </a:ln>
            <a:effectLst/>
          </c:spPr>
          <c:invertIfNegative val="0"/>
          <c:dLbls>
            <c:dLbl>
              <c:idx val="0"/>
              <c:layout>
                <c:manualLayout>
                  <c:x val="0"/>
                  <c:y val="1.2547344820465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34-45F1-95EC-440E0CAA04B1}"/>
                </c:ext>
              </c:extLst>
            </c:dLbl>
            <c:dLbl>
              <c:idx val="1"/>
              <c:layout>
                <c:manualLayout>
                  <c:x val="-9.2941263165742257E-17"/>
                  <c:y val="2.091224136744315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69-45F9-BE9C-9156B2AE401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2016</c:v>
              </c:pt>
              <c:pt idx="1">
                <c:v>2017</c:v>
              </c:pt>
              <c:pt idx="2">
                <c:v>2019</c:v>
              </c:pt>
              <c:pt idx="3">
                <c:v>2023</c:v>
              </c:pt>
              <c:pt idx="4">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MOVILIDAD'!$D$24,'9. SEGURIDAD Y MOVILIDAD'!$P$24,'9. SEGURIDAD Y MOVILIDAD'!$Q$24,'9. SEGURIDAD Y MOVILIDAD'!$S$24,'9. SEGURIDAD Y MOVILIDAD'!$W$24,'9. SEGURIDAD Y MOVILIDAD'!$X$24)</c15:sqref>
                  </c15:fullRef>
                </c:ext>
              </c:extLst>
              <c:f>('9. SEGURIDAD Y MOVILIDAD'!$P$24,'9. SEGURIDAD Y MOVILIDAD'!$Q$24,'9. SEGURIDAD Y MOVILIDAD'!$S$24,'9. SEGURIDAD Y MOVILIDAD'!$W$24,'9. SEGURIDAD Y MOVILIDAD'!$X$24)</c:f>
              <c:numCache>
                <c:formatCode>General</c:formatCode>
                <c:ptCount val="5"/>
                <c:pt idx="0">
                  <c:v>1.7999999999999989</c:v>
                </c:pt>
                <c:pt idx="1">
                  <c:v>3.4000000000000004</c:v>
                </c:pt>
                <c:pt idx="2">
                  <c:v>2.4000000000000004</c:v>
                </c:pt>
                <c:pt idx="3">
                  <c:v>1.8999999999999995</c:v>
                </c:pt>
                <c:pt idx="4">
                  <c:v>1.4000000000000004</c:v>
                </c:pt>
              </c:numCache>
            </c:numRef>
          </c:val>
          <c:extLst>
            <c:ext xmlns:c16="http://schemas.microsoft.com/office/drawing/2014/chart" uri="{C3380CC4-5D6E-409C-BE32-E72D297353CC}">
              <c16:uniqueId val="{00000001-E634-45F1-95EC-440E0CAA04B1}"/>
            </c:ext>
          </c:extLst>
        </c:ser>
        <c:dLbls>
          <c:showLegendKey val="0"/>
          <c:showVal val="0"/>
          <c:showCatName val="0"/>
          <c:showSerName val="0"/>
          <c:showPercent val="0"/>
          <c:showBubbleSize val="0"/>
        </c:dLbls>
        <c:gapWidth val="219"/>
        <c:overlap val="20"/>
        <c:axId val="158062511"/>
        <c:axId val="1500577887"/>
      </c:barChart>
      <c:lineChart>
        <c:grouping val="standard"/>
        <c:varyColors val="0"/>
        <c:ser>
          <c:idx val="0"/>
          <c:order val="0"/>
          <c:tx>
            <c:strRef>
              <c:f>'9. SEGURIDAD Y MOVILIDAD'!$C$22</c:f>
              <c:strCache>
                <c:ptCount val="1"/>
                <c:pt idx="0">
                  <c:v>Hombres (%)</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extLst>
                <c:ext xmlns:c15="http://schemas.microsoft.com/office/drawing/2012/chart" uri="{02D57815-91ED-43cb-92C2-25804820EDAC}">
                  <c15:fullRef>
                    <c15:sqref>('9. SEGURIDAD Y MOVILIDAD'!$O$20:$Q$20,'9. SEGURIDAD Y MOVILIDAD'!$S$20,'9. SEGURIDAD Y MOVILIDAD'!$W$20:$X$20)</c15:sqref>
                  </c15:fullRef>
                </c:ext>
              </c:extLst>
              <c:f>('9. SEGURIDAD Y MOVILIDAD'!$P$20:$Q$20,'9. SEGURIDAD Y MOVILIDAD'!$S$20,'9. SEGURIDAD Y MOVILIDAD'!$W$20:$X$20)</c:f>
              <c:numCache>
                <c:formatCode>General</c:formatCode>
                <c:ptCount val="5"/>
                <c:pt idx="0">
                  <c:v>2016</c:v>
                </c:pt>
                <c:pt idx="1">
                  <c:v>2017</c:v>
                </c:pt>
                <c:pt idx="2">
                  <c:v>2019</c:v>
                </c:pt>
                <c:pt idx="3">
                  <c:v>2023</c:v>
                </c:pt>
                <c:pt idx="4">
                  <c:v>2024</c:v>
                </c:pt>
              </c:numCache>
            </c:numRef>
          </c:cat>
          <c:val>
            <c:numRef>
              <c:extLst>
                <c:ext xmlns:c15="http://schemas.microsoft.com/office/drawing/2012/chart" uri="{02D57815-91ED-43cb-92C2-25804820EDAC}">
                  <c15:fullRef>
                    <c15:sqref>('9. SEGURIDAD Y MOVILIDAD'!$D$22,'9. SEGURIDAD Y MOVILIDAD'!$P$22,'9. SEGURIDAD Y MOVILIDAD'!$Q$22,'9. SEGURIDAD Y MOVILIDAD'!$S$22,'9. SEGURIDAD Y MOVILIDAD'!$W$22,'9. SEGURIDAD Y MOVILIDAD'!$X$22)</c15:sqref>
                  </c15:fullRef>
                </c:ext>
              </c:extLst>
              <c:f>('9. SEGURIDAD Y MOVILIDAD'!$P$22,'9. SEGURIDAD Y MOVILIDAD'!$Q$22,'9. SEGURIDAD Y MOVILIDAD'!$S$22,'9. SEGURIDAD Y MOVILIDAD'!$W$22,'9. SEGURIDAD Y MOVILIDAD'!$X$22)</c:f>
              <c:numCache>
                <c:formatCode>General</c:formatCode>
                <c:ptCount val="5"/>
                <c:pt idx="0">
                  <c:v>10.3</c:v>
                </c:pt>
                <c:pt idx="1">
                  <c:v>8.6</c:v>
                </c:pt>
                <c:pt idx="2">
                  <c:v>10.5</c:v>
                </c:pt>
                <c:pt idx="3">
                  <c:v>6.3</c:v>
                </c:pt>
                <c:pt idx="4">
                  <c:v>6.5</c:v>
                </c:pt>
              </c:numCache>
            </c:numRef>
          </c:val>
          <c:smooth val="0"/>
          <c:extLst>
            <c:ext xmlns:c16="http://schemas.microsoft.com/office/drawing/2014/chart" uri="{C3380CC4-5D6E-409C-BE32-E72D297353CC}">
              <c16:uniqueId val="{00000002-E634-45F1-95EC-440E0CAA04B1}"/>
            </c:ext>
          </c:extLst>
        </c:ser>
        <c:ser>
          <c:idx val="1"/>
          <c:order val="1"/>
          <c:tx>
            <c:strRef>
              <c:f>'9. SEGURIDAD Y MOVILIDAD'!$C$23</c:f>
              <c:strCache>
                <c:ptCount val="1"/>
                <c:pt idx="0">
                  <c:v>Mujeres (%)</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('9. SEGURIDAD Y MOVILIDAD'!$O$20:$Q$20,'9. SEGURIDAD Y MOVILIDAD'!$S$20,'9. SEGURIDAD Y MOVILIDAD'!$W$20:$X$20)</c15:sqref>
                  </c15:fullRef>
                </c:ext>
              </c:extLst>
              <c:f>('9. SEGURIDAD Y MOVILIDAD'!$P$20:$Q$20,'9. SEGURIDAD Y MOVILIDAD'!$S$20,'9. SEGURIDAD Y MOVILIDAD'!$W$20:$X$20)</c:f>
              <c:numCache>
                <c:formatCode>General</c:formatCode>
                <c:ptCount val="5"/>
                <c:pt idx="0">
                  <c:v>2016</c:v>
                </c:pt>
                <c:pt idx="1">
                  <c:v>2017</c:v>
                </c:pt>
                <c:pt idx="2">
                  <c:v>2019</c:v>
                </c:pt>
                <c:pt idx="3">
                  <c:v>2023</c:v>
                </c:pt>
                <c:pt idx="4">
                  <c:v>2024</c:v>
                </c:pt>
              </c:numCache>
            </c:numRef>
          </c:cat>
          <c:val>
            <c:numRef>
              <c:extLst>
                <c:ext xmlns:c15="http://schemas.microsoft.com/office/drawing/2012/chart" uri="{02D57815-91ED-43cb-92C2-25804820EDAC}">
                  <c15:fullRef>
                    <c15:sqref>('9. SEGURIDAD Y MOVILIDAD'!$D$23,'9. SEGURIDAD Y MOVILIDAD'!$P$23,'9. SEGURIDAD Y MOVILIDAD'!$Q$23,'9. SEGURIDAD Y MOVILIDAD'!$S$23,'9. SEGURIDAD Y MOVILIDAD'!$W$23,'9. SEGURIDAD Y MOVILIDAD'!$X$23)</c15:sqref>
                  </c15:fullRef>
                </c:ext>
              </c:extLst>
              <c:f>('9. SEGURIDAD Y MOVILIDAD'!$P$23,'9. SEGURIDAD Y MOVILIDAD'!$Q$23,'9. SEGURIDAD Y MOVILIDAD'!$S$23,'9. SEGURIDAD Y MOVILIDAD'!$W$23,'9. SEGURIDAD Y MOVILIDAD'!$X$23)</c:f>
              <c:numCache>
                <c:formatCode>General</c:formatCode>
                <c:ptCount val="5"/>
                <c:pt idx="0">
                  <c:v>12.1</c:v>
                </c:pt>
                <c:pt idx="1">
                  <c:v>12</c:v>
                </c:pt>
                <c:pt idx="2">
                  <c:v>12.9</c:v>
                </c:pt>
                <c:pt idx="3">
                  <c:v>8.1999999999999993</c:v>
                </c:pt>
                <c:pt idx="4">
                  <c:v>7.9</c:v>
                </c:pt>
              </c:numCache>
            </c:numRef>
          </c:val>
          <c:smooth val="0"/>
          <c:extLst>
            <c:ext xmlns:c16="http://schemas.microsoft.com/office/drawing/2014/chart" uri="{C3380CC4-5D6E-409C-BE32-E72D297353CC}">
              <c16:uniqueId val="{00000003-E634-45F1-95EC-440E0CAA04B1}"/>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max val="2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9.7 Personas que tienen la tarjeta de identificación de conductor/a y pueden ejercer la profesión de conductor/a de vehículo de taxi</a:t>
            </a:r>
            <a:endParaRPr lang="it-IT" sz="1200" b="1" baseline="0"/>
          </a:p>
        </c:rich>
      </c:tx>
      <c:layout>
        <c:manualLayout>
          <c:xMode val="edge"/>
          <c:yMode val="edge"/>
          <c:x val="0.14348532841783149"/>
          <c:y val="1.610376034546871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MOVILIDAD'!$C$102:$D$102</c:f>
              <c:strCache>
                <c:ptCount val="2"/>
                <c:pt idx="0">
                  <c:v>Brecha (N)</c:v>
                </c:pt>
              </c:strCache>
            </c:strRef>
          </c:tx>
          <c:spPr>
            <a:solidFill>
              <a:srgbClr val="FF8989">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f>
              <c:extLst xmlns:c15="http://schemas.microsoft.com/office/drawing/2012/chart"/>
            </c:multiLvlStrRef>
          </c:cat>
          <c:val>
            <c:numRef>
              <c:f>'9. SEGURIDAD Y MOVILIDAD'!$T$102:$V$102</c:f>
              <c:numCache>
                <c:formatCode>_-* #,##0_-;\-* #,##0_-;_-* "-"??_-;_-@_-</c:formatCode>
                <c:ptCount val="3"/>
                <c:pt idx="0">
                  <c:v>-14124</c:v>
                </c:pt>
                <c:pt idx="1">
                  <c:v>-14760</c:v>
                </c:pt>
                <c:pt idx="2">
                  <c:v>-15023</c:v>
                </c:pt>
              </c:numCache>
              <c:extLst/>
            </c:numRef>
          </c:val>
          <c:extLst>
            <c:ext xmlns:c16="http://schemas.microsoft.com/office/drawing/2014/chart" uri="{C3380CC4-5D6E-409C-BE32-E72D297353CC}">
              <c16:uniqueId val="{00000000-1F6A-4800-8D82-D9C1B222A98B}"/>
            </c:ext>
          </c:extLst>
        </c:ser>
        <c:dLbls>
          <c:showLegendKey val="0"/>
          <c:showVal val="0"/>
          <c:showCatName val="0"/>
          <c:showSerName val="0"/>
          <c:showPercent val="0"/>
          <c:showBubbleSize val="0"/>
        </c:dLbls>
        <c:gapWidth val="219"/>
        <c:axId val="158062511"/>
        <c:axId val="1500577887"/>
      </c:barChart>
      <c:lineChart>
        <c:grouping val="standard"/>
        <c:varyColors val="0"/>
        <c:ser>
          <c:idx val="0"/>
          <c:order val="0"/>
          <c:tx>
            <c:strRef>
              <c:f>'9. SEGURIDAD Y MOVILIDAD'!$C$100:$D$100</c:f>
              <c:strCache>
                <c:ptCount val="2"/>
                <c:pt idx="0">
                  <c:v>Hombres (N)</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numRef>
              <c:f>('9. SEGURIDAD Y MOVILIDAD'!$T$98,'9. SEGURIDAD Y MOVILIDAD'!$U$98,'9. SEGURIDAD Y MOVILIDAD'!$V$98)</c:f>
              <c:numCache>
                <c:formatCode>General</c:formatCode>
                <c:ptCount val="3"/>
                <c:pt idx="0">
                  <c:v>2020</c:v>
                </c:pt>
                <c:pt idx="1">
                  <c:v>2021</c:v>
                </c:pt>
                <c:pt idx="2">
                  <c:v>2022</c:v>
                </c:pt>
              </c:numCache>
              <c:extLst/>
            </c:numRef>
          </c:cat>
          <c:val>
            <c:numRef>
              <c:f>'9. SEGURIDAD Y MOVILIDAD'!$T$100:$V$100</c:f>
              <c:numCache>
                <c:formatCode>_-* #,##0_-;\-* #,##0_-;_-* "-"??_-;_-@_-</c:formatCode>
                <c:ptCount val="3"/>
                <c:pt idx="0">
                  <c:v>14805</c:v>
                </c:pt>
                <c:pt idx="1">
                  <c:v>15564</c:v>
                </c:pt>
                <c:pt idx="2">
                  <c:v>15919</c:v>
                </c:pt>
              </c:numCache>
              <c:extLst/>
            </c:numRef>
          </c:val>
          <c:smooth val="0"/>
          <c:extLst>
            <c:ext xmlns:c16="http://schemas.microsoft.com/office/drawing/2014/chart" uri="{C3380CC4-5D6E-409C-BE32-E72D297353CC}">
              <c16:uniqueId val="{00000001-1F6A-4800-8D82-D9C1B222A98B}"/>
            </c:ext>
          </c:extLst>
        </c:ser>
        <c:ser>
          <c:idx val="1"/>
          <c:order val="1"/>
          <c:tx>
            <c:strRef>
              <c:f>'9. SEGURIDAD Y MOVILIDAD'!$C$101:$D$101</c:f>
              <c:strCache>
                <c:ptCount val="2"/>
                <c:pt idx="0">
                  <c:v>Mujeres (N)</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numRef>
              <c:f>('9. SEGURIDAD Y MOVILIDAD'!$T$98,'9. SEGURIDAD Y MOVILIDAD'!$U$98,'9. SEGURIDAD Y MOVILIDAD'!$V$98)</c:f>
              <c:numCache>
                <c:formatCode>General</c:formatCode>
                <c:ptCount val="3"/>
                <c:pt idx="0">
                  <c:v>2020</c:v>
                </c:pt>
                <c:pt idx="1">
                  <c:v>2021</c:v>
                </c:pt>
                <c:pt idx="2">
                  <c:v>2022</c:v>
                </c:pt>
              </c:numCache>
              <c:extLst/>
            </c:numRef>
          </c:cat>
          <c:val>
            <c:numRef>
              <c:f>'9. SEGURIDAD Y MOVILIDAD'!$T$101:$V$101</c:f>
              <c:numCache>
                <c:formatCode>_-* #,##0_-;\-* #,##0_-;_-* "-"??_-;_-@_-</c:formatCode>
                <c:ptCount val="3"/>
                <c:pt idx="0">
                  <c:v>681</c:v>
                </c:pt>
                <c:pt idx="1">
                  <c:v>804</c:v>
                </c:pt>
                <c:pt idx="2">
                  <c:v>896</c:v>
                </c:pt>
              </c:numCache>
              <c:extLst/>
            </c:numRef>
          </c:val>
          <c:smooth val="0"/>
          <c:extLst>
            <c:ext xmlns:c16="http://schemas.microsoft.com/office/drawing/2014/chart" uri="{C3380CC4-5D6E-409C-BE32-E72D297353CC}">
              <c16:uniqueId val="{00000002-1F6A-4800-8D82-D9C1B222A98B}"/>
            </c:ext>
          </c:extLst>
        </c:ser>
        <c:dLbls>
          <c:showLegendKey val="0"/>
          <c:showVal val="0"/>
          <c:showCatName val="0"/>
          <c:showSerName val="0"/>
          <c:showPercent val="0"/>
          <c:showBubbleSize val="0"/>
        </c:dLbls>
        <c:marker val="1"/>
        <c:smooth val="0"/>
        <c:axId val="158062511"/>
        <c:axId val="1500577887"/>
      </c:lineChart>
      <c:catAx>
        <c:axId val="1580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00577887"/>
        <c:crosses val="autoZero"/>
        <c:auto val="1"/>
        <c:lblAlgn val="ctr"/>
        <c:lblOffset val="100"/>
        <c:noMultiLvlLbl val="0"/>
      </c:catAx>
      <c:valAx>
        <c:axId val="1500577887"/>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625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6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2.5. Hogares monoparentales y monomarentales</a:t>
            </a:r>
          </a:p>
        </c:rich>
      </c:tx>
      <c:layout>
        <c:manualLayout>
          <c:xMode val="edge"/>
          <c:yMode val="edge"/>
          <c:x val="0.41626206349206352"/>
          <c:y val="2.741960784313725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'2. POBLACIÓN Y HOGARES'!$C$53:$D$53</c:f>
              <c:strCache>
                <c:ptCount val="2"/>
                <c:pt idx="0">
                  <c:v>Diferencia (N)</c:v>
                </c:pt>
              </c:strCache>
            </c:strRef>
          </c:tx>
          <c:spPr>
            <a:solidFill>
              <a:srgbClr val="FF8989">
                <a:alpha val="80000"/>
              </a:srgbClr>
            </a:solidFill>
            <a:ln>
              <a:noFill/>
            </a:ln>
            <a:effectLst/>
          </c:spPr>
          <c:invertIfNegative val="0"/>
          <c:dLbls>
            <c:dLbl>
              <c:idx val="0"/>
              <c:layout>
                <c:manualLayout>
                  <c:x val="0"/>
                  <c:y val="8.33099254804117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DE-4BC4-AE9C-81EC2E7E99A1}"/>
                </c:ext>
              </c:extLst>
            </c:dLbl>
            <c:dLbl>
              <c:idx val="1"/>
              <c:layout>
                <c:manualLayout>
                  <c:x val="-1.4782898009769501E-16"/>
                  <c:y val="4.08823529411760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62-4DB1-B4E9-30C7C96DF2D6}"/>
                </c:ext>
              </c:extLst>
            </c:dLbl>
            <c:dLbl>
              <c:idx val="3"/>
              <c:layout>
                <c:manualLayout>
                  <c:x val="2.0158730158728682E-3"/>
                  <c:y val="2.06895424836601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87-4FF2-9095-7E7EC8A661B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HOGARES'!$E$49:$X$49</c15:sqref>
                  </c15:fullRef>
                </c:ext>
              </c:extLst>
              <c:f>'2. POBLACIÓN Y HOGARES'!$F$49:$X$49</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HOGARES'!$E$53:$X$53</c15:sqref>
                  </c15:fullRef>
                </c:ext>
              </c:extLst>
              <c:f>'2. POBLACIÓN Y HOGARES'!$F$53:$X$53</c:f>
              <c:numCache>
                <c:formatCode>#,##0</c:formatCode>
                <c:ptCount val="7"/>
                <c:pt idx="0">
                  <c:v>16961</c:v>
                </c:pt>
                <c:pt idx="1">
                  <c:v>20791</c:v>
                </c:pt>
                <c:pt idx="2">
                  <c:v>20904</c:v>
                </c:pt>
                <c:pt idx="3">
                  <c:v>20764</c:v>
                </c:pt>
                <c:pt idx="4">
                  <c:v>20920</c:v>
                </c:pt>
                <c:pt idx="5">
                  <c:v>20730</c:v>
                </c:pt>
                <c:pt idx="6">
                  <c:v>21266</c:v>
                </c:pt>
              </c:numCache>
            </c:numRef>
          </c:val>
          <c:extLst>
            <c:ext xmlns:c15="http://schemas.microsoft.com/office/drawing/2012/chart" uri="{02D57815-91ED-43cb-92C2-25804820EDAC}">
              <c15:categoryFilterExceptions>
                <c15:categoryFilterException>
                  <c15:sqref>'2. POBLACIÓN Y HOGARES'!$E$53</c15:sqref>
                  <c15:dLbl>
                    <c:idx val="-1"/>
                    <c:layout>
                      <c:manualLayout>
                        <c:x val="0"/>
                        <c:y val="1.672477321921309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E19D-40F1-BA31-D516E9891E16}"/>
                      </c:ext>
                    </c:extLst>
                  </c15:dLbl>
                </c15:categoryFilterException>
              </c15:categoryFilterExceptions>
            </c:ext>
            <c:ext xmlns:c16="http://schemas.microsoft.com/office/drawing/2014/chart" uri="{C3380CC4-5D6E-409C-BE32-E72D297353CC}">
              <c16:uniqueId val="{00000000-D48C-4922-A26D-2945E843C86F}"/>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HOGARES'!$C$51:$D$51</c:f>
              <c:strCache>
                <c:ptCount val="2"/>
                <c:pt idx="0">
                  <c:v>1 hombre adulto con 1 o más menores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HOGARES'!$E$51:$X$51</c15:sqref>
                  </c15:fullRef>
                </c:ext>
              </c:extLst>
              <c:f>'2. POBLACIÓN Y HOGARES'!$F$51:$X$51</c:f>
              <c:numCache>
                <c:formatCode>#,##0</c:formatCode>
                <c:ptCount val="7"/>
                <c:pt idx="0">
                  <c:v>5140</c:v>
                </c:pt>
                <c:pt idx="1">
                  <c:v>5566</c:v>
                </c:pt>
                <c:pt idx="2">
                  <c:v>5328</c:v>
                </c:pt>
                <c:pt idx="3">
                  <c:v>5236</c:v>
                </c:pt>
                <c:pt idx="4">
                  <c:v>5331</c:v>
                </c:pt>
                <c:pt idx="5">
                  <c:v>5363</c:v>
                </c:pt>
                <c:pt idx="6">
                  <c:v>5479</c:v>
                </c:pt>
              </c:numCache>
            </c:numRef>
          </c:val>
          <c:smooth val="0"/>
          <c:extLst>
            <c:ext xmlns:c16="http://schemas.microsoft.com/office/drawing/2014/chart" uri="{C3380CC4-5D6E-409C-BE32-E72D297353CC}">
              <c16:uniqueId val="{00000001-D48C-4922-A26D-2945E843C86F}"/>
            </c:ext>
          </c:extLst>
        </c:ser>
        <c:ser>
          <c:idx val="1"/>
          <c:order val="1"/>
          <c:tx>
            <c:strRef>
              <c:f>'2. POBLACIÓN Y HOGARES'!$C$52:$D$52</c:f>
              <c:strCache>
                <c:ptCount val="2"/>
                <c:pt idx="0">
                  <c:v>1 mujer adulta con 1 o más menores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HOGARES'!$E$52:$X$52</c15:sqref>
                  </c15:fullRef>
                </c:ext>
              </c:extLst>
              <c:f>'2. POBLACIÓN Y HOGARES'!$F$52:$X$52</c:f>
              <c:numCache>
                <c:formatCode>#,##0</c:formatCode>
                <c:ptCount val="7"/>
                <c:pt idx="0">
                  <c:v>22101</c:v>
                </c:pt>
                <c:pt idx="1">
                  <c:v>26357</c:v>
                </c:pt>
                <c:pt idx="2">
                  <c:v>26232</c:v>
                </c:pt>
                <c:pt idx="3">
                  <c:v>26000</c:v>
                </c:pt>
                <c:pt idx="4">
                  <c:v>26251</c:v>
                </c:pt>
                <c:pt idx="5">
                  <c:v>26093</c:v>
                </c:pt>
                <c:pt idx="6">
                  <c:v>26745</c:v>
                </c:pt>
              </c:numCache>
            </c:numRef>
          </c:val>
          <c:smooth val="0"/>
          <c:extLst>
            <c:ext xmlns:c16="http://schemas.microsoft.com/office/drawing/2014/chart" uri="{C3380CC4-5D6E-409C-BE32-E72D297353CC}">
              <c16:uniqueId val="{00000002-D48C-4922-A26D-2945E843C86F}"/>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44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spc="0" baseline="0">
                <a:solidFill>
                  <a:sysClr val="windowText" lastClr="000000">
                    <a:lumMod val="65000"/>
                    <a:lumOff val="35000"/>
                  </a:sysClr>
                </a:solidFill>
                <a:latin typeface="+mn-lt"/>
                <a:ea typeface="+mn-ea"/>
                <a:cs typeface="+mn-cs"/>
              </a:defRPr>
            </a:pPr>
            <a:r>
              <a:rPr lang="es-ES" sz="1200" b="1" i="0" u="none" strike="noStrike" kern="1200" spc="0" baseline="0">
                <a:solidFill>
                  <a:sysClr val="windowText" lastClr="000000">
                    <a:lumMod val="65000"/>
                    <a:lumOff val="35000"/>
                  </a:sysClr>
                </a:solidFill>
                <a:latin typeface="+mn-lt"/>
                <a:ea typeface="+mn-ea"/>
                <a:cs typeface="+mn-cs"/>
              </a:rPr>
              <a:t>9.5 Medios habituales de transporte utilizados para desplazamientos cotidianos durante 2024 (%) </a:t>
            </a:r>
          </a:p>
        </c:rich>
      </c:tx>
      <c:overlay val="0"/>
      <c:spPr>
        <a:noFill/>
        <a:ln>
          <a:noFill/>
        </a:ln>
        <a:effectLst/>
      </c:spPr>
      <c:txPr>
        <a:bodyPr rot="0" spcFirstLastPara="1" vertOverflow="ellipsis" vert="horz" wrap="square" anchor="ctr" anchorCtr="1"/>
        <a:lstStyle/>
        <a:p>
          <a:pPr algn="ctr" rtl="0">
            <a:defRPr lang="es-ES" sz="120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manualLayout>
          <c:layoutTarget val="inner"/>
          <c:xMode val="edge"/>
          <c:yMode val="edge"/>
          <c:x val="1.944917301752155E-2"/>
          <c:y val="7.573892625349575E-2"/>
          <c:w val="0.96820150685218742"/>
          <c:h val="0.71284069551350338"/>
        </c:manualLayout>
      </c:layout>
      <c:barChart>
        <c:barDir val="col"/>
        <c:grouping val="clustered"/>
        <c:varyColors val="0"/>
        <c:ser>
          <c:idx val="0"/>
          <c:order val="0"/>
          <c:tx>
            <c:strRef>
              <c:f>'9. Gráficas'!$V$59</c:f>
              <c:strCache>
                <c:ptCount val="1"/>
                <c:pt idx="0">
                  <c:v>Hombres (%)</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'9. Gráficas'!$U$60:$U$73</c15:sqref>
                  </c15:fullRef>
                </c:ext>
              </c:extLst>
              <c:f>('9. Gráficas'!$U$60,'9. Gráficas'!$U$63:$U$73)</c:f>
              <c:strCache>
                <c:ptCount val="12"/>
                <c:pt idx="0">
                  <c:v>Autobus urbano</c:v>
                </c:pt>
                <c:pt idx="1">
                  <c:v>Transporte de empresa</c:v>
                </c:pt>
                <c:pt idx="2">
                  <c:v>Metro/metro ligero</c:v>
                </c:pt>
                <c:pt idx="3">
                  <c:v>Tren de cercanías</c:v>
                </c:pt>
                <c:pt idx="4">
                  <c:v>Coche particular</c:v>
                </c:pt>
                <c:pt idx="5">
                  <c:v>Moto</c:v>
                </c:pt>
                <c:pt idx="6">
                  <c:v>Taxi</c:v>
                </c:pt>
                <c:pt idx="7">
                  <c:v>Uber, Cabify y otras aplicaciones</c:v>
                </c:pt>
                <c:pt idx="8">
                  <c:v>Servicios de alquiles de coches y/o motos por minutos</c:v>
                </c:pt>
                <c:pt idx="9">
                  <c:v>Bicicleta</c:v>
                </c:pt>
                <c:pt idx="10">
                  <c:v>Otros medios</c:v>
                </c:pt>
                <c:pt idx="11">
                  <c:v>Generalmente no utilizo ningún medio de transporte</c:v>
                </c:pt>
              </c:strCache>
            </c:strRef>
          </c:cat>
          <c:val>
            <c:numRef>
              <c:extLst>
                <c:ext xmlns:c15="http://schemas.microsoft.com/office/drawing/2012/chart" uri="{02D57815-91ED-43cb-92C2-25804820EDAC}">
                  <c15:fullRef>
                    <c15:sqref>'9. Gráficas'!$V$60:$V$73</c15:sqref>
                  </c15:fullRef>
                </c:ext>
              </c:extLst>
              <c:f>('9. Gráficas'!$V$60,'9. Gráficas'!$V$63:$V$73)</c:f>
              <c:numCache>
                <c:formatCode>0.0</c:formatCode>
                <c:ptCount val="12"/>
                <c:pt idx="0">
                  <c:v>54.2</c:v>
                </c:pt>
                <c:pt idx="1">
                  <c:v>3.5</c:v>
                </c:pt>
                <c:pt idx="2">
                  <c:v>63.4</c:v>
                </c:pt>
                <c:pt idx="3">
                  <c:v>19.600000000000001</c:v>
                </c:pt>
                <c:pt idx="4">
                  <c:v>55.9</c:v>
                </c:pt>
                <c:pt idx="5">
                  <c:v>11</c:v>
                </c:pt>
                <c:pt idx="6">
                  <c:v>13.5</c:v>
                </c:pt>
                <c:pt idx="7">
                  <c:v>13.2</c:v>
                </c:pt>
                <c:pt idx="8">
                  <c:v>4.9000000000000004</c:v>
                </c:pt>
                <c:pt idx="9">
                  <c:v>11.6</c:v>
                </c:pt>
                <c:pt idx="10">
                  <c:v>3.4</c:v>
                </c:pt>
                <c:pt idx="11">
                  <c:v>2.4</c:v>
                </c:pt>
              </c:numCache>
            </c:numRef>
          </c:val>
          <c:extLst>
            <c:ext xmlns:c16="http://schemas.microsoft.com/office/drawing/2014/chart" uri="{C3380CC4-5D6E-409C-BE32-E72D297353CC}">
              <c16:uniqueId val="{000000DC-2226-4999-9050-1EF11276A3EE}"/>
            </c:ext>
          </c:extLst>
        </c:ser>
        <c:ser>
          <c:idx val="1"/>
          <c:order val="1"/>
          <c:tx>
            <c:strRef>
              <c:f>'9. Gráficas'!$W$59</c:f>
              <c:strCache>
                <c:ptCount val="1"/>
                <c:pt idx="0">
                  <c:v>Mujeres (%)</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'9. Gráficas'!$U$60:$U$73</c15:sqref>
                  </c15:fullRef>
                </c:ext>
              </c:extLst>
              <c:f>('9. Gráficas'!$U$60,'9. Gráficas'!$U$63:$U$73)</c:f>
              <c:strCache>
                <c:ptCount val="12"/>
                <c:pt idx="0">
                  <c:v>Autobus urbano</c:v>
                </c:pt>
                <c:pt idx="1">
                  <c:v>Transporte de empresa</c:v>
                </c:pt>
                <c:pt idx="2">
                  <c:v>Metro/metro ligero</c:v>
                </c:pt>
                <c:pt idx="3">
                  <c:v>Tren de cercanías</c:v>
                </c:pt>
                <c:pt idx="4">
                  <c:v>Coche particular</c:v>
                </c:pt>
                <c:pt idx="5">
                  <c:v>Moto</c:v>
                </c:pt>
                <c:pt idx="6">
                  <c:v>Taxi</c:v>
                </c:pt>
                <c:pt idx="7">
                  <c:v>Uber, Cabify y otras aplicaciones</c:v>
                </c:pt>
                <c:pt idx="8">
                  <c:v>Servicios de alquiles de coches y/o motos por minutos</c:v>
                </c:pt>
                <c:pt idx="9">
                  <c:v>Bicicleta</c:v>
                </c:pt>
                <c:pt idx="10">
                  <c:v>Otros medios</c:v>
                </c:pt>
                <c:pt idx="11">
                  <c:v>Generalmente no utilizo ningún medio de transporte</c:v>
                </c:pt>
              </c:strCache>
            </c:strRef>
          </c:cat>
          <c:val>
            <c:numRef>
              <c:extLst>
                <c:ext xmlns:c15="http://schemas.microsoft.com/office/drawing/2012/chart" uri="{02D57815-91ED-43cb-92C2-25804820EDAC}">
                  <c15:fullRef>
                    <c15:sqref>'9. Gráficas'!$W$60:$W$73</c15:sqref>
                  </c15:fullRef>
                </c:ext>
              </c:extLst>
              <c:f>('9. Gráficas'!$W$60,'9. Gráficas'!$W$63:$W$73)</c:f>
              <c:numCache>
                <c:formatCode>0.0</c:formatCode>
                <c:ptCount val="12"/>
                <c:pt idx="0">
                  <c:v>65.5</c:v>
                </c:pt>
                <c:pt idx="1">
                  <c:v>1.6</c:v>
                </c:pt>
                <c:pt idx="2">
                  <c:v>65.8</c:v>
                </c:pt>
                <c:pt idx="3">
                  <c:v>19.399999999999999</c:v>
                </c:pt>
                <c:pt idx="4">
                  <c:v>46.5</c:v>
                </c:pt>
                <c:pt idx="5">
                  <c:v>2.5</c:v>
                </c:pt>
                <c:pt idx="6">
                  <c:v>15.5</c:v>
                </c:pt>
                <c:pt idx="7">
                  <c:v>13.1</c:v>
                </c:pt>
                <c:pt idx="8">
                  <c:v>3.1</c:v>
                </c:pt>
                <c:pt idx="9">
                  <c:v>5</c:v>
                </c:pt>
                <c:pt idx="10">
                  <c:v>3</c:v>
                </c:pt>
                <c:pt idx="11">
                  <c:v>3.5</c:v>
                </c:pt>
              </c:numCache>
            </c:numRef>
          </c:val>
          <c:extLst>
            <c:ext xmlns:c16="http://schemas.microsoft.com/office/drawing/2014/chart" uri="{C3380CC4-5D6E-409C-BE32-E72D297353CC}">
              <c16:uniqueId val="{000000DD-2226-4999-9050-1EF11276A3EE}"/>
            </c:ext>
          </c:extLst>
        </c:ser>
        <c:dLbls>
          <c:dLblPos val="outEnd"/>
          <c:showLegendKey val="0"/>
          <c:showVal val="1"/>
          <c:showCatName val="0"/>
          <c:showSerName val="0"/>
          <c:showPercent val="0"/>
          <c:showBubbleSize val="0"/>
        </c:dLbls>
        <c:gapWidth val="210"/>
        <c:overlap val="-22"/>
        <c:axId val="1329566959"/>
        <c:axId val="1329567439"/>
      </c:barChart>
      <c:catAx>
        <c:axId val="13295669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29567439"/>
        <c:crosses val="autoZero"/>
        <c:auto val="1"/>
        <c:lblAlgn val="ctr"/>
        <c:lblOffset val="100"/>
        <c:tickLblSkip val="1"/>
        <c:noMultiLvlLbl val="0"/>
      </c:catAx>
      <c:valAx>
        <c:axId val="1329567439"/>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29566959"/>
        <c:crosses val="autoZero"/>
        <c:crossBetween val="between"/>
      </c:valAx>
      <c:spPr>
        <a:noFill/>
        <a:ln w="25400">
          <a:noFill/>
        </a:ln>
        <a:effectLst/>
      </c:spPr>
    </c:plotArea>
    <c:legend>
      <c:legendPos val="b"/>
      <c:layout>
        <c:manualLayout>
          <c:xMode val="edge"/>
          <c:yMode val="edge"/>
          <c:x val="0.82325111509051474"/>
          <c:y val="0.93522933673152753"/>
          <c:w val="0.1278592242224573"/>
          <c:h val="5.58338380976572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userShapes r:id="rId3"/>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9.4b. Personas adultas que han sido condenadas por sentencia firme </a:t>
            </a:r>
          </a:p>
        </c:rich>
      </c:tx>
      <c:layout>
        <c:manualLayout>
          <c:xMode val="edge"/>
          <c:yMode val="edge"/>
          <c:x val="0.1940609096577452"/>
          <c:y val="2.375378602833414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'9. SEGURIDAD Y MOVILIDAD'!$C$29:$D$29</c:f>
              <c:strCache>
                <c:ptCount val="2"/>
                <c:pt idx="0">
                  <c:v>Brecha (N)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'9. SEGURIDAD Y MOVILIDAD'!$J$25:$W$25</c15:sqref>
                  </c15:fullRef>
                </c:ext>
              </c:extLst>
              <c:f>('9. SEGURIDAD Y MOVILIDAD'!$J$25,'9. SEGURIDAD Y MOVILIDAD'!$O$25,'9. SEGURIDAD Y MOVILIDAD'!$T$25:$W$25)</c:f>
              <c:numCache>
                <c:formatCode>General</c:formatCode>
                <c:ptCount val="6"/>
                <c:pt idx="0">
                  <c:v>2010</c:v>
                </c:pt>
                <c:pt idx="1">
                  <c:v>2015</c:v>
                </c:pt>
                <c:pt idx="2">
                  <c:v>2020</c:v>
                </c:pt>
                <c:pt idx="3">
                  <c:v>2021</c:v>
                </c:pt>
                <c:pt idx="4">
                  <c:v>2022</c:v>
                </c:pt>
                <c:pt idx="5">
                  <c:v>2023</c:v>
                </c:pt>
              </c:numCache>
            </c:numRef>
          </c:cat>
          <c:val>
            <c:numRef>
              <c:extLst>
                <c:ext xmlns:c15="http://schemas.microsoft.com/office/drawing/2012/chart" uri="{02D57815-91ED-43cb-92C2-25804820EDAC}">
                  <c15:fullRef>
                    <c15:sqref>'9. SEGURIDAD Y MOVILIDAD'!$J$29:$W$29</c15:sqref>
                  </c15:fullRef>
                </c:ext>
              </c:extLst>
              <c:f>('9. SEGURIDAD Y MOVILIDAD'!$J$29,'9. SEGURIDAD Y MOVILIDAD'!$O$29,'9. SEGURIDAD Y MOVILIDAD'!$T$29:$W$29)</c:f>
              <c:numCache>
                <c:formatCode>#,##0.0</c:formatCode>
                <c:ptCount val="6"/>
                <c:pt idx="0" formatCode="_-* #,##0_-;\-* #,##0_-;_-* &quot;-&quot;??_-;_-@_-">
                  <c:v>-18511</c:v>
                </c:pt>
                <c:pt idx="1" formatCode="_-* #,##0_-;\-* #,##0_-;_-* &quot;-&quot;??_-;_-@_-">
                  <c:v>-18653</c:v>
                </c:pt>
                <c:pt idx="2" formatCode="_-* #,##0_-;\-* #,##0_-;_-* &quot;-&quot;??_-;_-@_-">
                  <c:v>-14602</c:v>
                </c:pt>
                <c:pt idx="3" formatCode="_-* #,##0_-;\-* #,##0_-;_-* &quot;-&quot;??_-;_-@_-">
                  <c:v>-18409</c:v>
                </c:pt>
                <c:pt idx="4" formatCode="_-* #,##0_-;\-* #,##0_-;_-* &quot;-&quot;??_-;_-@_-">
                  <c:v>-20157</c:v>
                </c:pt>
                <c:pt idx="5" formatCode="0">
                  <c:v>-26855</c:v>
                </c:pt>
              </c:numCache>
            </c:numRef>
          </c:val>
          <c:extLst>
            <c:ext xmlns:c16="http://schemas.microsoft.com/office/drawing/2014/chart" uri="{C3380CC4-5D6E-409C-BE32-E72D297353CC}">
              <c16:uniqueId val="{00000000-886E-4FC0-885D-EA892CF8E92A}"/>
            </c:ext>
          </c:extLst>
        </c:ser>
        <c:dLbls>
          <c:showLegendKey val="0"/>
          <c:showVal val="0"/>
          <c:showCatName val="0"/>
          <c:showSerName val="0"/>
          <c:showPercent val="0"/>
          <c:showBubbleSize val="0"/>
        </c:dLbls>
        <c:gapWidth val="219"/>
        <c:overlap val="20"/>
        <c:axId val="1638109328"/>
        <c:axId val="1675722816"/>
      </c:barChart>
      <c:lineChart>
        <c:grouping val="standard"/>
        <c:varyColors val="0"/>
        <c:ser>
          <c:idx val="0"/>
          <c:order val="0"/>
          <c:tx>
            <c:strRef>
              <c:f>'9. SEGURIDAD Y MOVILIDAD'!$C$27:$D$27</c:f>
              <c:strCache>
                <c:ptCount val="2"/>
                <c:pt idx="0">
                  <c:v>Hombres (N)</c:v>
                </c:pt>
              </c:strCache>
            </c:strRef>
          </c:tx>
          <c:spPr>
            <a:ln w="19050" cap="rnd">
              <a:solidFill>
                <a:schemeClr val="bg2">
                  <a:lumMod val="50000"/>
                </a:schemeClr>
              </a:solidFill>
              <a:round/>
            </a:ln>
            <a:effectLst/>
          </c:spPr>
          <c:marker>
            <c:symbol val="circle"/>
            <c:size val="5"/>
            <c:spPr>
              <a:solidFill>
                <a:schemeClr val="bg2">
                  <a:lumMod val="50000"/>
                </a:schemeClr>
              </a:solidFill>
              <a:ln w="9525">
                <a:solidFill>
                  <a:schemeClr val="bg2">
                    <a:lumMod val="50000"/>
                  </a:schemeClr>
                </a:solidFill>
              </a:ln>
              <a:effectLst/>
            </c:spPr>
          </c:marker>
          <c:cat>
            <c:strLit>
              <c:ptCount val="6"/>
              <c:pt idx="0">
                <c:v>2010</c:v>
              </c:pt>
              <c:pt idx="1">
                <c:v>2015</c:v>
              </c:pt>
              <c:pt idx="2">
                <c:v>2020</c:v>
              </c:pt>
              <c:pt idx="3">
                <c:v>2021</c:v>
              </c:pt>
              <c:pt idx="4">
                <c:v>2022</c:v>
              </c:pt>
              <c:pt idx="5">
                <c:v>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MOVILIDAD'!$J$27:$W$27</c15:sqref>
                  </c15:fullRef>
                </c:ext>
              </c:extLst>
              <c:f>('9. SEGURIDAD Y MOVILIDAD'!$J$27,'9. SEGURIDAD Y MOVILIDAD'!$O$27,'9. SEGURIDAD Y MOVILIDAD'!$T$27:$W$27)</c:f>
              <c:numCache>
                <c:formatCode>#,##0</c:formatCode>
                <c:ptCount val="6"/>
                <c:pt idx="0">
                  <c:v>20946</c:v>
                </c:pt>
                <c:pt idx="1">
                  <c:v>22813</c:v>
                </c:pt>
                <c:pt idx="2">
                  <c:v>21500</c:v>
                </c:pt>
                <c:pt idx="3">
                  <c:v>26764</c:v>
                </c:pt>
                <c:pt idx="4">
                  <c:v>28903</c:v>
                </c:pt>
                <c:pt idx="5">
                  <c:v>37379</c:v>
                </c:pt>
              </c:numCache>
            </c:numRef>
          </c:val>
          <c:smooth val="0"/>
          <c:extLst>
            <c:ext xmlns:c16="http://schemas.microsoft.com/office/drawing/2014/chart" uri="{C3380CC4-5D6E-409C-BE32-E72D297353CC}">
              <c16:uniqueId val="{00000001-886E-4FC0-885D-EA892CF8E92A}"/>
            </c:ext>
          </c:extLst>
        </c:ser>
        <c:ser>
          <c:idx val="1"/>
          <c:order val="1"/>
          <c:tx>
            <c:strRef>
              <c:f>'9. SEGURIDAD Y MOVILIDAD'!$C$28:$D$28</c:f>
              <c:strCache>
                <c:ptCount val="2"/>
                <c:pt idx="0">
                  <c:v>Mujeres (N)</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cat>
            <c:strLit>
              <c:ptCount val="6"/>
              <c:pt idx="0">
                <c:v>2010</c:v>
              </c:pt>
              <c:pt idx="1">
                <c:v>2015</c:v>
              </c:pt>
              <c:pt idx="2">
                <c:v>2020</c:v>
              </c:pt>
              <c:pt idx="3">
                <c:v>2021</c:v>
              </c:pt>
              <c:pt idx="4">
                <c:v>2022</c:v>
              </c:pt>
              <c:pt idx="5">
                <c:v>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'9. SEGURIDAD Y MOVILIDAD'!$J$28:$W$28</c15:sqref>
                  </c15:fullRef>
                </c:ext>
              </c:extLst>
              <c:f>('9. SEGURIDAD Y MOVILIDAD'!$J$28,'9. SEGURIDAD Y MOVILIDAD'!$O$28,'9. SEGURIDAD Y MOVILIDAD'!$T$28:$W$28)</c:f>
              <c:numCache>
                <c:formatCode>#,##0</c:formatCode>
                <c:ptCount val="6"/>
                <c:pt idx="0">
                  <c:v>2435</c:v>
                </c:pt>
                <c:pt idx="1">
                  <c:v>4160</c:v>
                </c:pt>
                <c:pt idx="2">
                  <c:v>6898</c:v>
                </c:pt>
                <c:pt idx="3">
                  <c:v>8355</c:v>
                </c:pt>
                <c:pt idx="4">
                  <c:v>8746</c:v>
                </c:pt>
                <c:pt idx="5">
                  <c:v>10524</c:v>
                </c:pt>
              </c:numCache>
            </c:numRef>
          </c:val>
          <c:smooth val="0"/>
          <c:extLst>
            <c:ext xmlns:c16="http://schemas.microsoft.com/office/drawing/2014/chart" uri="{C3380CC4-5D6E-409C-BE32-E72D297353CC}">
              <c16:uniqueId val="{00000002-886E-4FC0-885D-EA892CF8E92A}"/>
            </c:ext>
          </c:extLst>
        </c:ser>
        <c:dLbls>
          <c:showLegendKey val="0"/>
          <c:showVal val="0"/>
          <c:showCatName val="0"/>
          <c:showSerName val="0"/>
          <c:showPercent val="0"/>
          <c:showBubbleSize val="0"/>
        </c:dLbls>
        <c:marker val="1"/>
        <c:smooth val="0"/>
        <c:axId val="1638109328"/>
        <c:axId val="1675722816"/>
      </c:lineChart>
      <c:catAx>
        <c:axId val="163810932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75722816"/>
        <c:crosses val="autoZero"/>
        <c:auto val="1"/>
        <c:lblAlgn val="ctr"/>
        <c:lblOffset val="100"/>
        <c:noMultiLvlLbl val="0"/>
      </c:catAx>
      <c:valAx>
        <c:axId val="1675722816"/>
        <c:scaling>
          <c:orientation val="minMax"/>
        </c:scaling>
        <c:delete val="0"/>
        <c:axPos val="l"/>
        <c:majorGridlines>
          <c:spPr>
            <a:ln w="9525" cap="flat" cmpd="sng" algn="ctr">
              <a:no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381093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bg1">
            <a:lumMod val="95000"/>
            <a:alpha val="66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it-IT" sz="1200" b="1"/>
              <a:t>2.2. Población por grandes grupos de edad: principales indicadores </a:t>
            </a:r>
          </a:p>
          <a:p>
            <a:pPr>
              <a:defRPr sz="1200" b="1"/>
            </a:pPr>
            <a:r>
              <a:rPr lang="it-IT" sz="1200" b="1"/>
              <a:t>(0-14</a:t>
            </a:r>
            <a:r>
              <a:rPr lang="it-IT" sz="1200" b="1" baseline="0"/>
              <a:t> años</a:t>
            </a:r>
            <a:r>
              <a:rPr lang="it-IT" sz="1200" b="1"/>
              <a:t>)</a:t>
            </a:r>
          </a:p>
        </c:rich>
      </c:tx>
      <c:layout>
        <c:manualLayout>
          <c:xMode val="edge"/>
          <c:yMode val="edge"/>
          <c:x val="0.19163714285714287"/>
          <c:y val="1.596895424836601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7775739935018459"/>
          <c:y val="0.1989303573202636"/>
          <c:w val="0.79800248994694767"/>
          <c:h val="0.44443951385899261"/>
        </c:manualLayout>
      </c:layout>
      <c:barChart>
        <c:barDir val="col"/>
        <c:grouping val="clustered"/>
        <c:varyColors val="0"/>
        <c:ser>
          <c:idx val="2"/>
          <c:order val="2"/>
          <c:tx>
            <c:strRef>
              <c:f>'2. POBLACIÓN Y HOGARES'!$C$27:$C$31</c:f>
              <c:strCache>
                <c:ptCount val="1"/>
                <c:pt idx="0">
                  <c:v>Diferencia (N)</c:v>
                </c:pt>
              </c:strCache>
            </c:strRef>
          </c:tx>
          <c:spPr>
            <a:solidFill>
              <a:srgbClr val="FF8989">
                <a:alpha val="80000"/>
              </a:srgbClr>
            </a:solidFill>
            <a:ln>
              <a:noFill/>
            </a:ln>
            <a:effectLst/>
          </c:spPr>
          <c:invertIfNegative val="0"/>
          <c:dLbls>
            <c:dLbl>
              <c:idx val="0"/>
              <c:layout>
                <c:manualLayout>
                  <c:x val="0"/>
                  <c:y val="8.46557182429758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F4-4957-B346-4509DA293EE8}"/>
                </c:ext>
              </c:extLst>
            </c:dLbl>
            <c:dLbl>
              <c:idx val="1"/>
              <c:layout>
                <c:manualLayout>
                  <c:x val="0"/>
                  <c:y val="1.2670162247724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F4-4957-B346-4509DA293EE8}"/>
                </c:ext>
              </c:extLst>
            </c:dLbl>
            <c:dLbl>
              <c:idx val="2"/>
              <c:layout>
                <c:manualLayout>
                  <c:x val="0"/>
                  <c:y val="1.2652684342434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FB-4A0E-A9D2-17F785C122A5}"/>
                </c:ext>
              </c:extLst>
            </c:dLbl>
            <c:dLbl>
              <c:idx val="4"/>
              <c:layout>
                <c:manualLayout>
                  <c:x val="0"/>
                  <c:y val="1.6858593853053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67-4F4C-87F4-3BCBB423FC2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'2. POBLACIÓN Y HOGARES'!$E$2:$V$2</c15:sqref>
                  </c15:fullRef>
                </c:ext>
              </c:extLst>
              <c:f>'2. POBLACIÓN Y HOGARES'!$F$2:$V$2</c:f>
              <c:numCache>
                <c:formatCode>General</c:formatCode>
                <c:ptCount val="5"/>
                <c:pt idx="0">
                  <c:v>2010</c:v>
                </c:pt>
                <c:pt idx="1">
                  <c:v>2015</c:v>
                </c:pt>
                <c:pt idx="2">
                  <c:v>2020</c:v>
                </c:pt>
                <c:pt idx="3">
                  <c:v>2021</c:v>
                </c:pt>
                <c:pt idx="4">
                  <c:v>2022</c:v>
                </c:pt>
              </c:numCache>
            </c:numRef>
          </c:cat>
          <c:val>
            <c:numRef>
              <c:extLst>
                <c:ext xmlns:c15="http://schemas.microsoft.com/office/drawing/2012/chart" uri="{02D57815-91ED-43cb-92C2-25804820EDAC}">
                  <c15:fullRef>
                    <c15:sqref>'2. POBLACIÓN Y HOGARES'!$E$28:$X$28</c15:sqref>
                  </c15:fullRef>
                </c:ext>
              </c:extLst>
              <c:f>'2. POBLACIÓN Y HOGARES'!$F$28:$X$28</c:f>
              <c:numCache>
                <c:formatCode>#,##0</c:formatCode>
                <c:ptCount val="7"/>
                <c:pt idx="0">
                  <c:v>-11356</c:v>
                </c:pt>
                <c:pt idx="1">
                  <c:v>-10381</c:v>
                </c:pt>
                <c:pt idx="2">
                  <c:v>-10667</c:v>
                </c:pt>
                <c:pt idx="3">
                  <c:v>-10263</c:v>
                </c:pt>
                <c:pt idx="4">
                  <c:v>-10487</c:v>
                </c:pt>
                <c:pt idx="5">
                  <c:v>-10258</c:v>
                </c:pt>
                <c:pt idx="6">
                  <c:v>-9348</c:v>
                </c:pt>
              </c:numCache>
            </c:numRef>
          </c:val>
          <c:extLst>
            <c:ext xmlns:c15="http://schemas.microsoft.com/office/drawing/2012/chart" uri="{02D57815-91ED-43cb-92C2-25804820EDAC}">
              <c15:categoryFilterExceptions>
                <c15:categoryFilterException>
                  <c15:sqref>'2. POBLACIÓN Y HOGARES'!$E$28</c15:sqref>
                  <c15:dLbl>
                    <c:idx val="-1"/>
                    <c:layout>
                      <c:manualLayout>
                        <c:x val="0"/>
                        <c:y val="8.4827199577892105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E2DB-48E4-BE27-224E59610DA5}"/>
                      </c:ext>
                    </c:extLst>
                  </c15:dLbl>
                </c15:categoryFilterException>
              </c15:categoryFilterExceptions>
            </c:ext>
            <c:ext xmlns:c16="http://schemas.microsoft.com/office/drawing/2014/chart" uri="{C3380CC4-5D6E-409C-BE32-E72D297353CC}">
              <c16:uniqueId val="{00000000-D8FB-4A0E-A9D2-17F785C122A5}"/>
            </c:ext>
          </c:extLst>
        </c:ser>
        <c:dLbls>
          <c:showLegendKey val="0"/>
          <c:showVal val="0"/>
          <c:showCatName val="0"/>
          <c:showSerName val="0"/>
          <c:showPercent val="0"/>
          <c:showBubbleSize val="0"/>
        </c:dLbls>
        <c:gapWidth val="219"/>
        <c:axId val="1178732271"/>
        <c:axId val="1404224031"/>
      </c:barChart>
      <c:lineChart>
        <c:grouping val="standard"/>
        <c:varyColors val="0"/>
        <c:ser>
          <c:idx val="0"/>
          <c:order val="0"/>
          <c:tx>
            <c:strRef>
              <c:f>'2. POBLACIÓN Y HOGARES'!$C$15:$C$20</c:f>
              <c:strCache>
                <c:ptCount val="1"/>
                <c:pt idx="0">
                  <c:v>Hombres</c:v>
                </c:pt>
              </c:strCache>
            </c:strRef>
          </c:tx>
          <c:spPr>
            <a:ln w="12700" cap="rnd">
              <a:solidFill>
                <a:schemeClr val="bg2">
                  <a:lumMod val="50000"/>
                </a:schemeClr>
              </a:solidFill>
              <a:round/>
            </a:ln>
            <a:effectLst/>
          </c:spPr>
          <c:marker>
            <c:symbol val="circle"/>
            <c:size val="5"/>
            <c:spPr>
              <a:solidFill>
                <a:schemeClr val="bg2">
                  <a:lumMod val="50000"/>
                </a:schemeClr>
              </a:solidFill>
              <a:ln w="12700">
                <a:noFill/>
                <a:miter lim="800000"/>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HOGARES'!$E$16:$X$16</c15:sqref>
                  </c15:fullRef>
                </c:ext>
              </c:extLst>
              <c:f>'2. POBLACIÓN Y HOGARES'!$F$16:$X$16</c:f>
              <c:numCache>
                <c:formatCode>#,##0</c:formatCode>
                <c:ptCount val="7"/>
                <c:pt idx="0">
                  <c:v>238619</c:v>
                </c:pt>
                <c:pt idx="1">
                  <c:v>233057</c:v>
                </c:pt>
                <c:pt idx="2">
                  <c:v>238404</c:v>
                </c:pt>
                <c:pt idx="3">
                  <c:v>233089</c:v>
                </c:pt>
                <c:pt idx="4">
                  <c:v>227939</c:v>
                </c:pt>
                <c:pt idx="5">
                  <c:v>227115</c:v>
                </c:pt>
                <c:pt idx="6">
                  <c:v>213799</c:v>
                </c:pt>
              </c:numCache>
            </c:numRef>
          </c:val>
          <c:smooth val="0"/>
          <c:extLst>
            <c:ext xmlns:c16="http://schemas.microsoft.com/office/drawing/2014/chart" uri="{C3380CC4-5D6E-409C-BE32-E72D297353CC}">
              <c16:uniqueId val="{00000001-D8FB-4A0E-A9D2-17F785C122A5}"/>
            </c:ext>
          </c:extLst>
        </c:ser>
        <c:ser>
          <c:idx val="1"/>
          <c:order val="1"/>
          <c:tx>
            <c:strRef>
              <c:f>'2. POBLACIÓN Y HOGARES'!$C$21:$C$26</c:f>
              <c:strCache>
                <c:ptCount val="1"/>
                <c:pt idx="0">
                  <c:v>Mujeres</c:v>
                </c:pt>
              </c:strCache>
            </c:strRef>
          </c:tx>
          <c:spPr>
            <a:ln w="12700" cap="rnd">
              <a:solidFill>
                <a:srgbClr val="C00000"/>
              </a:solidFill>
              <a:round/>
            </a:ln>
            <a:effectLst/>
          </c:spPr>
          <c:marker>
            <c:symbol val="circle"/>
            <c:size val="5"/>
            <c:spPr>
              <a:solidFill>
                <a:srgbClr val="C00000"/>
              </a:solidFill>
              <a:ln w="9525">
                <a:solidFill>
                  <a:srgbClr val="C00000"/>
                </a:solidFill>
              </a:ln>
              <a:effectLst/>
            </c:spPr>
          </c:marker>
          <c:cat>
            <c:numRef>
              <c:extLst>
                <c:ext xmlns:c15="http://schemas.microsoft.com/office/drawing/2012/chart" uri="{02D57815-91ED-43cb-92C2-25804820EDAC}">
                  <c15:fullRef>
                    <c15:sqref>'2. POBLACIÓN Y HOGARES'!$E$37:$X$37</c15:sqref>
                  </c15:fullRef>
                </c:ext>
              </c:extLst>
              <c:f>'2. POBLACIÓN Y HOGARES'!$F$37:$X$37</c:f>
              <c:numCache>
                <c:formatCode>General</c:formatCode>
                <c:ptCount val="7"/>
                <c:pt idx="0">
                  <c:v>2010</c:v>
                </c:pt>
                <c:pt idx="1">
                  <c:v>2015</c:v>
                </c:pt>
                <c:pt idx="2">
                  <c:v>2020</c:v>
                </c:pt>
                <c:pt idx="3">
                  <c:v>2021</c:v>
                </c:pt>
                <c:pt idx="4">
                  <c:v>2022</c:v>
                </c:pt>
                <c:pt idx="5">
                  <c:v>2023</c:v>
                </c:pt>
                <c:pt idx="6">
                  <c:v>2024</c:v>
                </c:pt>
              </c:numCache>
            </c:numRef>
          </c:cat>
          <c:val>
            <c:numRef>
              <c:extLst>
                <c:ext xmlns:c15="http://schemas.microsoft.com/office/drawing/2012/chart" uri="{02D57815-91ED-43cb-92C2-25804820EDAC}">
                  <c15:fullRef>
                    <c15:sqref>'2. POBLACIÓN Y HOGARES'!$E$22:$X$22</c15:sqref>
                  </c15:fullRef>
                </c:ext>
              </c:extLst>
              <c:f>'2. POBLACIÓN Y HOGARES'!$F$22:$X$22</c:f>
              <c:numCache>
                <c:formatCode>#,##0</c:formatCode>
                <c:ptCount val="7"/>
                <c:pt idx="0">
                  <c:v>227263</c:v>
                </c:pt>
                <c:pt idx="1">
                  <c:v>222676</c:v>
                </c:pt>
                <c:pt idx="2">
                  <c:v>227737</c:v>
                </c:pt>
                <c:pt idx="3">
                  <c:v>222826</c:v>
                </c:pt>
                <c:pt idx="4">
                  <c:v>217452</c:v>
                </c:pt>
                <c:pt idx="5">
                  <c:v>216857</c:v>
                </c:pt>
                <c:pt idx="6">
                  <c:v>204451</c:v>
                </c:pt>
              </c:numCache>
            </c:numRef>
          </c:val>
          <c:smooth val="0"/>
          <c:extLst>
            <c:ext xmlns:c16="http://schemas.microsoft.com/office/drawing/2014/chart" uri="{C3380CC4-5D6E-409C-BE32-E72D297353CC}">
              <c16:uniqueId val="{00000002-D8FB-4A0E-A9D2-17F785C122A5}"/>
            </c:ext>
          </c:extLst>
        </c:ser>
        <c:dLbls>
          <c:showLegendKey val="0"/>
          <c:showVal val="0"/>
          <c:showCatName val="0"/>
          <c:showSerName val="0"/>
          <c:showPercent val="0"/>
          <c:showBubbleSize val="0"/>
        </c:dLbls>
        <c:marker val="1"/>
        <c:smooth val="0"/>
        <c:axId val="1178732271"/>
        <c:axId val="1404224031"/>
      </c:lineChart>
      <c:catAx>
        <c:axId val="117873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4224031"/>
        <c:crosses val="autoZero"/>
        <c:auto val="1"/>
        <c:lblAlgn val="ctr"/>
        <c:lblOffset val="100"/>
        <c:noMultiLvlLbl val="0"/>
      </c:catAx>
      <c:valAx>
        <c:axId val="1404224031"/>
        <c:scaling>
          <c:orientation val="minMax"/>
          <c:max val="30000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8732271"/>
        <c:crosses val="autoZero"/>
        <c:crossBetween val="between"/>
        <c:majorUnit val="100000"/>
        <c:minorUnit val="1000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solidFill>
          <a:schemeClr val="accent3">
            <a:lumMod val="20000"/>
            <a:lumOff val="80000"/>
            <a:alpha val="5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5">
  <a:schemeClr val="accent2"/>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withinLinear" id="15">
  <a:schemeClr val="accent2"/>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5">
  <a:schemeClr val="accent2"/>
</cs:colorStyle>
</file>

<file path=xl/charts/colors18.xml><?xml version="1.0" encoding="utf-8"?>
<cs:colorStyle xmlns:cs="http://schemas.microsoft.com/office/drawing/2012/chartStyle" xmlns:a="http://schemas.openxmlformats.org/drawingml/2006/main" meth="withinLinear" id="15">
  <a:schemeClr val="accent2"/>
</cs:colorStyle>
</file>

<file path=xl/charts/colors19.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5">
  <a:schemeClr val="accent2"/>
</cs:colorStyle>
</file>

<file path=xl/charts/colors21.xml><?xml version="1.0" encoding="utf-8"?>
<cs:colorStyle xmlns:cs="http://schemas.microsoft.com/office/drawing/2012/chartStyle" xmlns:a="http://schemas.openxmlformats.org/drawingml/2006/main" meth="withinLinear" id="15">
  <a:schemeClr val="accent2"/>
</cs:colorStyle>
</file>

<file path=xl/charts/colors22.xml><?xml version="1.0" encoding="utf-8"?>
<cs:colorStyle xmlns:cs="http://schemas.microsoft.com/office/drawing/2012/chartStyle" xmlns:a="http://schemas.openxmlformats.org/drawingml/2006/main" meth="withinLinear" id="15">
  <a:schemeClr val="accent2"/>
</cs:colorStyle>
</file>

<file path=xl/charts/colors23.xml><?xml version="1.0" encoding="utf-8"?>
<cs:colorStyle xmlns:cs="http://schemas.microsoft.com/office/drawing/2012/chartStyle" xmlns:a="http://schemas.openxmlformats.org/drawingml/2006/main" meth="withinLinear" id="15">
  <a:schemeClr val="accent2"/>
</cs:colorStyle>
</file>

<file path=xl/charts/colors24.xml><?xml version="1.0" encoding="utf-8"?>
<cs:colorStyle xmlns:cs="http://schemas.microsoft.com/office/drawing/2012/chartStyle" xmlns:a="http://schemas.openxmlformats.org/drawingml/2006/main" meth="withinLinear" id="15">
  <a:schemeClr val="accent2"/>
</cs:colorStyle>
</file>

<file path=xl/charts/colors25.xml><?xml version="1.0" encoding="utf-8"?>
<cs:colorStyle xmlns:cs="http://schemas.microsoft.com/office/drawing/2012/chartStyle" xmlns:a="http://schemas.openxmlformats.org/drawingml/2006/main" meth="withinLinear" id="15">
  <a:schemeClr val="accent2"/>
</cs:colorStyle>
</file>

<file path=xl/charts/colors26.xml><?xml version="1.0" encoding="utf-8"?>
<cs:colorStyle xmlns:cs="http://schemas.microsoft.com/office/drawing/2012/chartStyle" xmlns:a="http://schemas.openxmlformats.org/drawingml/2006/main" meth="withinLinear" id="15">
  <a:schemeClr val="accent2"/>
</cs:colorStyle>
</file>

<file path=xl/charts/colors27.xml><?xml version="1.0" encoding="utf-8"?>
<cs:colorStyle xmlns:cs="http://schemas.microsoft.com/office/drawing/2012/chartStyle" xmlns:a="http://schemas.openxmlformats.org/drawingml/2006/main" meth="withinLinear" id="15">
  <a:schemeClr val="accent2"/>
</cs:colorStyle>
</file>

<file path=xl/charts/colors28.xml><?xml version="1.0" encoding="utf-8"?>
<cs:colorStyle xmlns:cs="http://schemas.microsoft.com/office/drawing/2012/chartStyle" xmlns:a="http://schemas.openxmlformats.org/drawingml/2006/main" meth="withinLinear" id="15">
  <a:schemeClr val="accent2"/>
</cs:colorStyle>
</file>

<file path=xl/charts/colors29.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5">
  <a:schemeClr val="accent2"/>
</cs:colorStyle>
</file>

<file path=xl/charts/colors31.xml><?xml version="1.0" encoding="utf-8"?>
<cs:colorStyle xmlns:cs="http://schemas.microsoft.com/office/drawing/2012/chartStyle" xmlns:a="http://schemas.openxmlformats.org/drawingml/2006/main" meth="withinLinear" id="15">
  <a:schemeClr val="accent2"/>
</cs:colorStyle>
</file>

<file path=xl/charts/colors32.xml><?xml version="1.0" encoding="utf-8"?>
<cs:colorStyle xmlns:cs="http://schemas.microsoft.com/office/drawing/2012/chartStyle" xmlns:a="http://schemas.openxmlformats.org/drawingml/2006/main" meth="withinLinear" id="15">
  <a:schemeClr val="accent2"/>
</cs:colorStyle>
</file>

<file path=xl/charts/colors33.xml><?xml version="1.0" encoding="utf-8"?>
<cs:colorStyle xmlns:cs="http://schemas.microsoft.com/office/drawing/2012/chartStyle" xmlns:a="http://schemas.openxmlformats.org/drawingml/2006/main" meth="withinLinear" id="15">
  <a:schemeClr val="accent2"/>
</cs:colorStyle>
</file>

<file path=xl/charts/colors34.xml><?xml version="1.0" encoding="utf-8"?>
<cs:colorStyle xmlns:cs="http://schemas.microsoft.com/office/drawing/2012/chartStyle" xmlns:a="http://schemas.openxmlformats.org/drawingml/2006/main" meth="withinLinear" id="15">
  <a:schemeClr val="accent2"/>
</cs:colorStyle>
</file>

<file path=xl/charts/colors35.xml><?xml version="1.0" encoding="utf-8"?>
<cs:colorStyle xmlns:cs="http://schemas.microsoft.com/office/drawing/2012/chartStyle" xmlns:a="http://schemas.openxmlformats.org/drawingml/2006/main" meth="withinLinear" id="15">
  <a:schemeClr val="accent2"/>
</cs:colorStyle>
</file>

<file path=xl/charts/colors36.xml><?xml version="1.0" encoding="utf-8"?>
<cs:colorStyle xmlns:cs="http://schemas.microsoft.com/office/drawing/2012/chartStyle" xmlns:a="http://schemas.openxmlformats.org/drawingml/2006/main" meth="withinLinear" id="15">
  <a:schemeClr val="accent2"/>
</cs:colorStyle>
</file>

<file path=xl/charts/colors37.xml><?xml version="1.0" encoding="utf-8"?>
<cs:colorStyle xmlns:cs="http://schemas.microsoft.com/office/drawing/2012/chartStyle" xmlns:a="http://schemas.openxmlformats.org/drawingml/2006/main" meth="withinLinear" id="15">
  <a:schemeClr val="accent2"/>
</cs:colorStyle>
</file>

<file path=xl/charts/colors38.xml><?xml version="1.0" encoding="utf-8"?>
<cs:colorStyle xmlns:cs="http://schemas.microsoft.com/office/drawing/2012/chartStyle" xmlns:a="http://schemas.openxmlformats.org/drawingml/2006/main" meth="withinLinear" id="15">
  <a:schemeClr val="accent2"/>
</cs:colorStyle>
</file>

<file path=xl/charts/colors39.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5">
  <a:schemeClr val="accent2"/>
</cs:colorStyle>
</file>

<file path=xl/charts/colors41.xml><?xml version="1.0" encoding="utf-8"?>
<cs:colorStyle xmlns:cs="http://schemas.microsoft.com/office/drawing/2012/chartStyle" xmlns:a="http://schemas.openxmlformats.org/drawingml/2006/main" meth="withinLinear" id="15">
  <a:schemeClr val="accent2"/>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4.xml"/><Relationship Id="rId7" Type="http://schemas.openxmlformats.org/officeDocument/2006/relationships/chart" Target="../charts/chart48.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5" Type="http://schemas.openxmlformats.org/officeDocument/2006/relationships/chart" Target="../charts/chart46.xml"/><Relationship Id="rId4" Type="http://schemas.openxmlformats.org/officeDocument/2006/relationships/chart" Target="../charts/chart45.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3" Type="http://schemas.openxmlformats.org/officeDocument/2006/relationships/chart" Target="../charts/chart51.xml"/><Relationship Id="rId7" Type="http://schemas.openxmlformats.org/officeDocument/2006/relationships/chart" Target="../charts/chart55.xml"/><Relationship Id="rId12" Type="http://schemas.openxmlformats.org/officeDocument/2006/relationships/chart" Target="../charts/chart60.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5" Type="http://schemas.openxmlformats.org/officeDocument/2006/relationships/chart" Target="../charts/chart53.xml"/><Relationship Id="rId10" Type="http://schemas.openxmlformats.org/officeDocument/2006/relationships/chart" Target="../charts/chart58.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70.xml"/><Relationship Id="rId3" Type="http://schemas.openxmlformats.org/officeDocument/2006/relationships/chart" Target="../charts/chart65.xml"/><Relationship Id="rId7" Type="http://schemas.openxmlformats.org/officeDocument/2006/relationships/chart" Target="../charts/chart69.xml"/><Relationship Id="rId2" Type="http://schemas.openxmlformats.org/officeDocument/2006/relationships/chart" Target="../charts/chart64.xml"/><Relationship Id="rId1" Type="http://schemas.openxmlformats.org/officeDocument/2006/relationships/chart" Target="../charts/chart63.xml"/><Relationship Id="rId6" Type="http://schemas.openxmlformats.org/officeDocument/2006/relationships/chart" Target="../charts/chart68.xml"/><Relationship Id="rId5" Type="http://schemas.openxmlformats.org/officeDocument/2006/relationships/chart" Target="../charts/chart67.xml"/><Relationship Id="rId4" Type="http://schemas.openxmlformats.org/officeDocument/2006/relationships/chart" Target="../charts/chart66.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78.xml"/><Relationship Id="rId3" Type="http://schemas.openxmlformats.org/officeDocument/2006/relationships/chart" Target="../charts/chart73.xml"/><Relationship Id="rId7" Type="http://schemas.openxmlformats.org/officeDocument/2006/relationships/chart" Target="../charts/chart77.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chart" Target="../charts/chart76.xml"/><Relationship Id="rId11" Type="http://schemas.openxmlformats.org/officeDocument/2006/relationships/chart" Target="../charts/chart81.xml"/><Relationship Id="rId5" Type="http://schemas.openxmlformats.org/officeDocument/2006/relationships/chart" Target="../charts/chart75.xml"/><Relationship Id="rId10" Type="http://schemas.openxmlformats.org/officeDocument/2006/relationships/chart" Target="../charts/chart80.xml"/><Relationship Id="rId4" Type="http://schemas.openxmlformats.org/officeDocument/2006/relationships/chart" Target="../charts/chart74.xml"/><Relationship Id="rId9" Type="http://schemas.openxmlformats.org/officeDocument/2006/relationships/chart" Target="../charts/chart7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 Id="rId9"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9.xml"/><Relationship Id="rId13" Type="http://schemas.openxmlformats.org/officeDocument/2006/relationships/chart" Target="../charts/chart34.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3.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chart" Target="../charts/chart32.xml"/><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 Id="rId14"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714375</xdr:colOff>
      <xdr:row>1</xdr:row>
      <xdr:rowOff>28575</xdr:rowOff>
    </xdr:to>
    <xdr:pic>
      <xdr:nvPicPr>
        <xdr:cNvPr id="2" name="Imagen 1">
          <a:extLst>
            <a:ext uri="{FF2B5EF4-FFF2-40B4-BE49-F238E27FC236}">
              <a16:creationId xmlns:a16="http://schemas.microsoft.com/office/drawing/2014/main" id="{676EBCAB-CC4B-F7A3-63F3-4766536BDCDF}"/>
            </a:ext>
          </a:extLst>
        </xdr:cNvPr>
        <xdr:cNvPicPr>
          <a:picLocks noChangeAspect="1"/>
        </xdr:cNvPicPr>
      </xdr:nvPicPr>
      <xdr:blipFill>
        <a:blip xmlns:r="http://schemas.openxmlformats.org/officeDocument/2006/relationships" r:embed="rId1"/>
        <a:stretch>
          <a:fillRect/>
        </a:stretch>
      </xdr:blipFill>
      <xdr:spPr>
        <a:xfrm>
          <a:off x="28575" y="0"/>
          <a:ext cx="2447925"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2</xdr:row>
      <xdr:rowOff>14818</xdr:rowOff>
    </xdr:from>
    <xdr:to>
      <xdr:col>8</xdr:col>
      <xdr:colOff>43824</xdr:colOff>
      <xdr:row>17</xdr:row>
      <xdr:rowOff>143013</xdr:rowOff>
    </xdr:to>
    <xdr:graphicFrame macro="">
      <xdr:nvGraphicFramePr>
        <xdr:cNvPr id="2" name="Gráfico 1">
          <a:extLst>
            <a:ext uri="{FF2B5EF4-FFF2-40B4-BE49-F238E27FC236}">
              <a16:creationId xmlns:a16="http://schemas.microsoft.com/office/drawing/2014/main" id="{653722E0-5835-4507-B070-812E94B5F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775448</xdr:colOff>
      <xdr:row>2</xdr:row>
      <xdr:rowOff>24343</xdr:rowOff>
    </xdr:from>
    <xdr:to>
      <xdr:col>16</xdr:col>
      <xdr:colOff>437034</xdr:colOff>
      <xdr:row>17</xdr:row>
      <xdr:rowOff>152538</xdr:rowOff>
    </xdr:to>
    <xdr:graphicFrame macro="">
      <xdr:nvGraphicFramePr>
        <xdr:cNvPr id="3" name="Gráfico 2">
          <a:extLst>
            <a:ext uri="{FF2B5EF4-FFF2-40B4-BE49-F238E27FC236}">
              <a16:creationId xmlns:a16="http://schemas.microsoft.com/office/drawing/2014/main" id="{EDEEE5C4-C108-42EC-85CF-0A521133E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293158</xdr:colOff>
      <xdr:row>20</xdr:row>
      <xdr:rowOff>9525</xdr:rowOff>
    </xdr:from>
    <xdr:to>
      <xdr:col>7</xdr:col>
      <xdr:colOff>722333</xdr:colOff>
      <xdr:row>36</xdr:row>
      <xdr:rowOff>10858</xdr:rowOff>
    </xdr:to>
    <xdr:graphicFrame macro="">
      <xdr:nvGraphicFramePr>
        <xdr:cNvPr id="4" name="Gráfico 3">
          <a:extLst>
            <a:ext uri="{FF2B5EF4-FFF2-40B4-BE49-F238E27FC236}">
              <a16:creationId xmlns:a16="http://schemas.microsoft.com/office/drawing/2014/main" id="{22BA43FC-A61F-4A2C-A47A-B0F6190D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759883</xdr:colOff>
      <xdr:row>19</xdr:row>
      <xdr:rowOff>180976</xdr:rowOff>
    </xdr:from>
    <xdr:to>
      <xdr:col>16</xdr:col>
      <xdr:colOff>315933</xdr:colOff>
      <xdr:row>35</xdr:row>
      <xdr:rowOff>182309</xdr:rowOff>
    </xdr:to>
    <xdr:graphicFrame macro="">
      <xdr:nvGraphicFramePr>
        <xdr:cNvPr id="5" name="Gráfico 4">
          <a:extLst>
            <a:ext uri="{FF2B5EF4-FFF2-40B4-BE49-F238E27FC236}">
              <a16:creationId xmlns:a16="http://schemas.microsoft.com/office/drawing/2014/main" id="{8F39B952-D867-40C6-A1A5-3ACD206CD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267758</xdr:colOff>
      <xdr:row>37</xdr:row>
      <xdr:rowOff>158750</xdr:rowOff>
    </xdr:from>
    <xdr:to>
      <xdr:col>7</xdr:col>
      <xdr:colOff>693758</xdr:colOff>
      <xdr:row>53</xdr:row>
      <xdr:rowOff>160083</xdr:rowOff>
    </xdr:to>
    <xdr:graphicFrame macro="">
      <xdr:nvGraphicFramePr>
        <xdr:cNvPr id="6" name="Gráfico 5">
          <a:extLst>
            <a:ext uri="{FF2B5EF4-FFF2-40B4-BE49-F238E27FC236}">
              <a16:creationId xmlns:a16="http://schemas.microsoft.com/office/drawing/2014/main" id="{C9ED12E9-20C2-4EF7-A724-C6149D036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742420</xdr:colOff>
      <xdr:row>37</xdr:row>
      <xdr:rowOff>155575</xdr:rowOff>
    </xdr:from>
    <xdr:to>
      <xdr:col>16</xdr:col>
      <xdr:colOff>298470</xdr:colOff>
      <xdr:row>54</xdr:row>
      <xdr:rowOff>3997</xdr:rowOff>
    </xdr:to>
    <xdr:graphicFrame macro="">
      <xdr:nvGraphicFramePr>
        <xdr:cNvPr id="8" name="Gráfico 7">
          <a:extLst>
            <a:ext uri="{FF2B5EF4-FFF2-40B4-BE49-F238E27FC236}">
              <a16:creationId xmlns:a16="http://schemas.microsoft.com/office/drawing/2014/main" id="{C74B0720-355E-4AB6-B4A8-E7CEF298D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254000</xdr:colOff>
      <xdr:row>52</xdr:row>
      <xdr:rowOff>166688</xdr:rowOff>
    </xdr:from>
    <xdr:to>
      <xdr:col>6</xdr:col>
      <xdr:colOff>79375</xdr:colOff>
      <xdr:row>54</xdr:row>
      <xdr:rowOff>150813</xdr:rowOff>
    </xdr:to>
    <xdr:sp macro="" textlink="">
      <xdr:nvSpPr>
        <xdr:cNvPr id="7" name="CuadroTexto 6">
          <a:extLst>
            <a:ext uri="{FF2B5EF4-FFF2-40B4-BE49-F238E27FC236}">
              <a16:creationId xmlns:a16="http://schemas.microsoft.com/office/drawing/2014/main" id="{1C4BC8DA-F130-B012-E4E9-69DA41EDDC22}"/>
            </a:ext>
          </a:extLst>
        </xdr:cNvPr>
        <xdr:cNvSpPr txBox="1"/>
      </xdr:nvSpPr>
      <xdr:spPr>
        <a:xfrm>
          <a:off x="254000" y="9913938"/>
          <a:ext cx="463550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Estudios de Salud de la Ciudad de Madrid, 2014, 2018, 2022. Madrid Salud.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254123</xdr:colOff>
      <xdr:row>39</xdr:row>
      <xdr:rowOff>178174</xdr:rowOff>
    </xdr:from>
    <xdr:to>
      <xdr:col>8</xdr:col>
      <xdr:colOff>173147</xdr:colOff>
      <xdr:row>56</xdr:row>
      <xdr:rowOff>78662</xdr:rowOff>
    </xdr:to>
    <xdr:graphicFrame macro="">
      <xdr:nvGraphicFramePr>
        <xdr:cNvPr id="13" name="Gráfico 12">
          <a:extLst>
            <a:ext uri="{FF2B5EF4-FFF2-40B4-BE49-F238E27FC236}">
              <a16:creationId xmlns:a16="http://schemas.microsoft.com/office/drawing/2014/main" id="{6EE5B163-3E56-4670-AA12-E7E69EFE1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2611</xdr:colOff>
      <xdr:row>58</xdr:row>
      <xdr:rowOff>17297</xdr:rowOff>
    </xdr:from>
    <xdr:to>
      <xdr:col>16</xdr:col>
      <xdr:colOff>719258</xdr:colOff>
      <xdr:row>74</xdr:row>
      <xdr:rowOff>103638</xdr:rowOff>
    </xdr:to>
    <xdr:graphicFrame macro="">
      <xdr:nvGraphicFramePr>
        <xdr:cNvPr id="16" name="Gráfico 15">
          <a:extLst>
            <a:ext uri="{FF2B5EF4-FFF2-40B4-BE49-F238E27FC236}">
              <a16:creationId xmlns:a16="http://schemas.microsoft.com/office/drawing/2014/main" id="{9C18456B-286C-4F27-9627-2AA14D196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789206</xdr:colOff>
      <xdr:row>39</xdr:row>
      <xdr:rowOff>159572</xdr:rowOff>
    </xdr:from>
    <xdr:to>
      <xdr:col>16</xdr:col>
      <xdr:colOff>708231</xdr:colOff>
      <xdr:row>56</xdr:row>
      <xdr:rowOff>60060</xdr:rowOff>
    </xdr:to>
    <xdr:graphicFrame macro="">
      <xdr:nvGraphicFramePr>
        <xdr:cNvPr id="2" name="Gráfico 1">
          <a:extLst>
            <a:ext uri="{FF2B5EF4-FFF2-40B4-BE49-F238E27FC236}">
              <a16:creationId xmlns:a16="http://schemas.microsoft.com/office/drawing/2014/main" id="{A9AD0A5A-8855-4076-851E-E3E5D59A6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217767</xdr:colOff>
      <xdr:row>76</xdr:row>
      <xdr:rowOff>28762</xdr:rowOff>
    </xdr:from>
    <xdr:to>
      <xdr:col>8</xdr:col>
      <xdr:colOff>136791</xdr:colOff>
      <xdr:row>92</xdr:row>
      <xdr:rowOff>115103</xdr:rowOff>
    </xdr:to>
    <xdr:graphicFrame macro="">
      <xdr:nvGraphicFramePr>
        <xdr:cNvPr id="11" name="Gráfico 10">
          <a:extLst>
            <a:ext uri="{FF2B5EF4-FFF2-40B4-BE49-F238E27FC236}">
              <a16:creationId xmlns:a16="http://schemas.microsoft.com/office/drawing/2014/main" id="{880737CE-4CFE-47D1-93C5-4EE7E71F8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430386</xdr:colOff>
      <xdr:row>2</xdr:row>
      <xdr:rowOff>4232</xdr:rowOff>
    </xdr:from>
    <xdr:to>
      <xdr:col>12</xdr:col>
      <xdr:colOff>606778</xdr:colOff>
      <xdr:row>36</xdr:row>
      <xdr:rowOff>77611</xdr:rowOff>
    </xdr:to>
    <xdr:graphicFrame macro="">
      <xdr:nvGraphicFramePr>
        <xdr:cNvPr id="3" name="Gráfico 2">
          <a:extLst>
            <a:ext uri="{FF2B5EF4-FFF2-40B4-BE49-F238E27FC236}">
              <a16:creationId xmlns:a16="http://schemas.microsoft.com/office/drawing/2014/main" id="{152078F0-1CB4-B6B3-B748-34CC4EB8EE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1</xdr:row>
      <xdr:rowOff>162622</xdr:rowOff>
    </xdr:from>
    <xdr:to>
      <xdr:col>25</xdr:col>
      <xdr:colOff>176391</xdr:colOff>
      <xdr:row>36</xdr:row>
      <xdr:rowOff>50147</xdr:rowOff>
    </xdr:to>
    <xdr:graphicFrame macro="">
      <xdr:nvGraphicFramePr>
        <xdr:cNvPr id="4" name="Gráfico 3">
          <a:extLst>
            <a:ext uri="{FF2B5EF4-FFF2-40B4-BE49-F238E27FC236}">
              <a16:creationId xmlns:a16="http://schemas.microsoft.com/office/drawing/2014/main" id="{FE7DD4EF-F706-4263-86B3-0DA2E88A8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285750</xdr:colOff>
      <xdr:row>58</xdr:row>
      <xdr:rowOff>39686</xdr:rowOff>
    </xdr:from>
    <xdr:to>
      <xdr:col>8</xdr:col>
      <xdr:colOff>206376</xdr:colOff>
      <xdr:row>74</xdr:row>
      <xdr:rowOff>142875</xdr:rowOff>
    </xdr:to>
    <xdr:graphicFrame macro="">
      <xdr:nvGraphicFramePr>
        <xdr:cNvPr id="5" name="Gráfico 4">
          <a:extLst>
            <a:ext uri="{FF2B5EF4-FFF2-40B4-BE49-F238E27FC236}">
              <a16:creationId xmlns:a16="http://schemas.microsoft.com/office/drawing/2014/main" id="{8B2D0873-132A-47E3-A8D1-6F60E9559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246062</xdr:colOff>
      <xdr:row>73</xdr:row>
      <xdr:rowOff>150813</xdr:rowOff>
    </xdr:from>
    <xdr:to>
      <xdr:col>7</xdr:col>
      <xdr:colOff>111124</xdr:colOff>
      <xdr:row>75</xdr:row>
      <xdr:rowOff>158751</xdr:rowOff>
    </xdr:to>
    <xdr:sp macro="" textlink="">
      <xdr:nvSpPr>
        <xdr:cNvPr id="6" name="CuadroTexto 5">
          <a:extLst>
            <a:ext uri="{FF2B5EF4-FFF2-40B4-BE49-F238E27FC236}">
              <a16:creationId xmlns:a16="http://schemas.microsoft.com/office/drawing/2014/main" id="{40AE10F7-EFCE-75E1-87E5-4D11314DEFB3}"/>
            </a:ext>
          </a:extLst>
        </xdr:cNvPr>
        <xdr:cNvSpPr txBox="1"/>
      </xdr:nvSpPr>
      <xdr:spPr>
        <a:xfrm>
          <a:off x="246062" y="13700126"/>
          <a:ext cx="5476875" cy="373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a:t>
          </a:r>
          <a:r>
            <a:rPr lang="es-ES" sz="800" baseline="0"/>
            <a:t> </a:t>
          </a:r>
          <a:r>
            <a:rPr lang="es-ES" sz="800"/>
            <a:t>Ministerio de Trabajo, Migraciones y Seguridad Social, e INSS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258222</xdr:colOff>
      <xdr:row>2</xdr:row>
      <xdr:rowOff>33601</xdr:rowOff>
    </xdr:from>
    <xdr:to>
      <xdr:col>8</xdr:col>
      <xdr:colOff>123555</xdr:colOff>
      <xdr:row>18</xdr:row>
      <xdr:rowOff>45601</xdr:rowOff>
    </xdr:to>
    <xdr:graphicFrame macro="">
      <xdr:nvGraphicFramePr>
        <xdr:cNvPr id="2" name="Gráfico 1">
          <a:extLst>
            <a:ext uri="{FF2B5EF4-FFF2-40B4-BE49-F238E27FC236}">
              <a16:creationId xmlns:a16="http://schemas.microsoft.com/office/drawing/2014/main" id="{E33677F1-25E0-4ED4-A56D-4E3668144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284721</xdr:colOff>
      <xdr:row>19</xdr:row>
      <xdr:rowOff>100170</xdr:rowOff>
    </xdr:from>
    <xdr:to>
      <xdr:col>8</xdr:col>
      <xdr:colOff>150054</xdr:colOff>
      <xdr:row>35</xdr:row>
      <xdr:rowOff>112170</xdr:rowOff>
    </xdr:to>
    <xdr:graphicFrame macro="">
      <xdr:nvGraphicFramePr>
        <xdr:cNvPr id="3" name="Gráfico 2">
          <a:extLst>
            <a:ext uri="{FF2B5EF4-FFF2-40B4-BE49-F238E27FC236}">
              <a16:creationId xmlns:a16="http://schemas.microsoft.com/office/drawing/2014/main" id="{3430D05D-FDE8-47A2-B03E-1FD732BE2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281213</xdr:colOff>
      <xdr:row>37</xdr:row>
      <xdr:rowOff>152401</xdr:rowOff>
    </xdr:from>
    <xdr:to>
      <xdr:col>8</xdr:col>
      <xdr:colOff>146546</xdr:colOff>
      <xdr:row>55</xdr:row>
      <xdr:rowOff>164401</xdr:rowOff>
    </xdr:to>
    <xdr:graphicFrame macro="">
      <xdr:nvGraphicFramePr>
        <xdr:cNvPr id="4" name="Gráfico 3">
          <a:extLst>
            <a:ext uri="{FF2B5EF4-FFF2-40B4-BE49-F238E27FC236}">
              <a16:creationId xmlns:a16="http://schemas.microsoft.com/office/drawing/2014/main" id="{F64F496B-6831-49F3-9E1C-DD66BFC26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229924</xdr:colOff>
      <xdr:row>57</xdr:row>
      <xdr:rowOff>106628</xdr:rowOff>
    </xdr:from>
    <xdr:to>
      <xdr:col>8</xdr:col>
      <xdr:colOff>95257</xdr:colOff>
      <xdr:row>73</xdr:row>
      <xdr:rowOff>118628</xdr:rowOff>
    </xdr:to>
    <xdr:graphicFrame macro="">
      <xdr:nvGraphicFramePr>
        <xdr:cNvPr id="8" name="Gráfico 7">
          <a:extLst>
            <a:ext uri="{FF2B5EF4-FFF2-40B4-BE49-F238E27FC236}">
              <a16:creationId xmlns:a16="http://schemas.microsoft.com/office/drawing/2014/main" id="{AC49D391-3531-4852-B548-74F40AC10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288661</xdr:colOff>
      <xdr:row>75</xdr:row>
      <xdr:rowOff>162004</xdr:rowOff>
    </xdr:from>
    <xdr:to>
      <xdr:col>16</xdr:col>
      <xdr:colOff>153995</xdr:colOff>
      <xdr:row>91</xdr:row>
      <xdr:rowOff>174004</xdr:rowOff>
    </xdr:to>
    <xdr:graphicFrame macro="">
      <xdr:nvGraphicFramePr>
        <xdr:cNvPr id="10" name="Gráfico 9">
          <a:extLst>
            <a:ext uri="{FF2B5EF4-FFF2-40B4-BE49-F238E27FC236}">
              <a16:creationId xmlns:a16="http://schemas.microsoft.com/office/drawing/2014/main" id="{925A1E69-364F-4864-A4E4-F87C4DCDD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193146</xdr:colOff>
      <xdr:row>93</xdr:row>
      <xdr:rowOff>163424</xdr:rowOff>
    </xdr:from>
    <xdr:to>
      <xdr:col>8</xdr:col>
      <xdr:colOff>58479</xdr:colOff>
      <xdr:row>109</xdr:row>
      <xdr:rowOff>175424</xdr:rowOff>
    </xdr:to>
    <xdr:graphicFrame macro="">
      <xdr:nvGraphicFramePr>
        <xdr:cNvPr id="11" name="Gráfico 10">
          <a:extLst>
            <a:ext uri="{FF2B5EF4-FFF2-40B4-BE49-F238E27FC236}">
              <a16:creationId xmlns:a16="http://schemas.microsoft.com/office/drawing/2014/main" id="{B3A4E12E-D51F-4BA0-9614-37F0EE5C6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199847</xdr:colOff>
      <xdr:row>112</xdr:row>
      <xdr:rowOff>85987</xdr:rowOff>
    </xdr:from>
    <xdr:to>
      <xdr:col>8</xdr:col>
      <xdr:colOff>65180</xdr:colOff>
      <xdr:row>128</xdr:row>
      <xdr:rowOff>97987</xdr:rowOff>
    </xdr:to>
    <xdr:graphicFrame macro="">
      <xdr:nvGraphicFramePr>
        <xdr:cNvPr id="12" name="Gráfico 11">
          <a:extLst>
            <a:ext uri="{FF2B5EF4-FFF2-40B4-BE49-F238E27FC236}">
              <a16:creationId xmlns:a16="http://schemas.microsoft.com/office/drawing/2014/main" id="{395BA646-925A-40B4-9389-CFD585EE3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378878</xdr:colOff>
      <xdr:row>19</xdr:row>
      <xdr:rowOff>110066</xdr:rowOff>
    </xdr:from>
    <xdr:to>
      <xdr:col>16</xdr:col>
      <xdr:colOff>244212</xdr:colOff>
      <xdr:row>35</xdr:row>
      <xdr:rowOff>122066</xdr:rowOff>
    </xdr:to>
    <xdr:graphicFrame macro="">
      <xdr:nvGraphicFramePr>
        <xdr:cNvPr id="6" name="Gráfico 5">
          <a:extLst>
            <a:ext uri="{FF2B5EF4-FFF2-40B4-BE49-F238E27FC236}">
              <a16:creationId xmlns:a16="http://schemas.microsoft.com/office/drawing/2014/main" id="{9DD177ED-06E2-4B3F-9844-EAD180727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184149</xdr:colOff>
      <xdr:row>75</xdr:row>
      <xdr:rowOff>106363</xdr:rowOff>
    </xdr:from>
    <xdr:to>
      <xdr:col>8</xdr:col>
      <xdr:colOff>49482</xdr:colOff>
      <xdr:row>91</xdr:row>
      <xdr:rowOff>118363</xdr:rowOff>
    </xdr:to>
    <xdr:graphicFrame macro="">
      <xdr:nvGraphicFramePr>
        <xdr:cNvPr id="7" name="Gráfico 6">
          <a:extLst>
            <a:ext uri="{FF2B5EF4-FFF2-40B4-BE49-F238E27FC236}">
              <a16:creationId xmlns:a16="http://schemas.microsoft.com/office/drawing/2014/main" id="{E5905F35-1FCC-489B-A0E7-CF4F32080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352777</xdr:colOff>
      <xdr:row>38</xdr:row>
      <xdr:rowOff>28223</xdr:rowOff>
    </xdr:from>
    <xdr:to>
      <xdr:col>16</xdr:col>
      <xdr:colOff>218111</xdr:colOff>
      <xdr:row>56</xdr:row>
      <xdr:rowOff>19056</xdr:rowOff>
    </xdr:to>
    <xdr:graphicFrame macro="">
      <xdr:nvGraphicFramePr>
        <xdr:cNvPr id="15" name="Gráfico 14">
          <a:extLst>
            <a:ext uri="{FF2B5EF4-FFF2-40B4-BE49-F238E27FC236}">
              <a16:creationId xmlns:a16="http://schemas.microsoft.com/office/drawing/2014/main" id="{3E653850-3078-4477-862B-43FF71869E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310444</xdr:colOff>
      <xdr:row>93</xdr:row>
      <xdr:rowOff>169333</xdr:rowOff>
    </xdr:from>
    <xdr:to>
      <xdr:col>16</xdr:col>
      <xdr:colOff>175778</xdr:colOff>
      <xdr:row>109</xdr:row>
      <xdr:rowOff>181333</xdr:rowOff>
    </xdr:to>
    <xdr:graphicFrame macro="">
      <xdr:nvGraphicFramePr>
        <xdr:cNvPr id="9" name="Gráfico 8">
          <a:extLst>
            <a:ext uri="{FF2B5EF4-FFF2-40B4-BE49-F238E27FC236}">
              <a16:creationId xmlns:a16="http://schemas.microsoft.com/office/drawing/2014/main" id="{9D04C7FF-BF9E-49D4-99BA-505080839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326320</xdr:colOff>
      <xdr:row>112</xdr:row>
      <xdr:rowOff>58209</xdr:rowOff>
    </xdr:from>
    <xdr:to>
      <xdr:col>16</xdr:col>
      <xdr:colOff>191653</xdr:colOff>
      <xdr:row>128</xdr:row>
      <xdr:rowOff>70209</xdr:rowOff>
    </xdr:to>
    <xdr:graphicFrame macro="">
      <xdr:nvGraphicFramePr>
        <xdr:cNvPr id="17" name="Gráfico 16">
          <a:extLst>
            <a:ext uri="{FF2B5EF4-FFF2-40B4-BE49-F238E27FC236}">
              <a16:creationId xmlns:a16="http://schemas.microsoft.com/office/drawing/2014/main" id="{E7274F7B-520D-4A23-88A4-BED1CF8B1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182563</xdr:colOff>
      <xdr:row>131</xdr:row>
      <xdr:rowOff>23812</xdr:rowOff>
    </xdr:from>
    <xdr:to>
      <xdr:col>8</xdr:col>
      <xdr:colOff>47896</xdr:colOff>
      <xdr:row>147</xdr:row>
      <xdr:rowOff>35812</xdr:rowOff>
    </xdr:to>
    <xdr:graphicFrame macro="">
      <xdr:nvGraphicFramePr>
        <xdr:cNvPr id="18" name="Gráfico 17">
          <a:extLst>
            <a:ext uri="{FF2B5EF4-FFF2-40B4-BE49-F238E27FC236}">
              <a16:creationId xmlns:a16="http://schemas.microsoft.com/office/drawing/2014/main" id="{A6863414-C3DB-42AC-817A-80CA1D099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301625</xdr:colOff>
      <xdr:row>131</xdr:row>
      <xdr:rowOff>3528</xdr:rowOff>
    </xdr:from>
    <xdr:to>
      <xdr:col>16</xdr:col>
      <xdr:colOff>166958</xdr:colOff>
      <xdr:row>147</xdr:row>
      <xdr:rowOff>15528</xdr:rowOff>
    </xdr:to>
    <xdr:graphicFrame macro="">
      <xdr:nvGraphicFramePr>
        <xdr:cNvPr id="19" name="Gráfico 18">
          <a:extLst>
            <a:ext uri="{FF2B5EF4-FFF2-40B4-BE49-F238E27FC236}">
              <a16:creationId xmlns:a16="http://schemas.microsoft.com/office/drawing/2014/main" id="{E828D5B5-8BA9-4A3F-931C-8C0E0F3D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366888</xdr:colOff>
      <xdr:row>54</xdr:row>
      <xdr:rowOff>134054</xdr:rowOff>
    </xdr:from>
    <xdr:to>
      <xdr:col>6</xdr:col>
      <xdr:colOff>268110</xdr:colOff>
      <xdr:row>56</xdr:row>
      <xdr:rowOff>70553</xdr:rowOff>
    </xdr:to>
    <xdr:sp macro="" textlink="">
      <xdr:nvSpPr>
        <xdr:cNvPr id="5" name="CuadroTexto 4">
          <a:extLst>
            <a:ext uri="{FF2B5EF4-FFF2-40B4-BE49-F238E27FC236}">
              <a16:creationId xmlns:a16="http://schemas.microsoft.com/office/drawing/2014/main" id="{8226317D-F5C6-3C89-2631-A8EBAFD33CDE}"/>
            </a:ext>
          </a:extLst>
        </xdr:cNvPr>
        <xdr:cNvSpPr txBox="1"/>
      </xdr:nvSpPr>
      <xdr:spPr>
        <a:xfrm>
          <a:off x="366888" y="10145887"/>
          <a:ext cx="4684889"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SiCTIMa Integrado de Información Universitaria (SIIU). Secretaría General de Universidades</a:t>
          </a:r>
        </a:p>
      </xdr:txBody>
    </xdr:sp>
    <xdr:clientData/>
  </xdr:twoCellAnchor>
  <xdr:twoCellAnchor>
    <xdr:from>
      <xdr:col>8</xdr:col>
      <xdr:colOff>296333</xdr:colOff>
      <xdr:row>127</xdr:row>
      <xdr:rowOff>77612</xdr:rowOff>
    </xdr:from>
    <xdr:to>
      <xdr:col>11</xdr:col>
      <xdr:colOff>642055</xdr:colOff>
      <xdr:row>128</xdr:row>
      <xdr:rowOff>148167</xdr:rowOff>
    </xdr:to>
    <xdr:sp macro="" textlink="">
      <xdr:nvSpPr>
        <xdr:cNvPr id="13" name="CuadroTexto 12">
          <a:extLst>
            <a:ext uri="{FF2B5EF4-FFF2-40B4-BE49-F238E27FC236}">
              <a16:creationId xmlns:a16="http://schemas.microsoft.com/office/drawing/2014/main" id="{5EC7A124-5956-D847-4F4E-E317B99F4EEA}"/>
            </a:ext>
          </a:extLst>
        </xdr:cNvPr>
        <xdr:cNvSpPr txBox="1"/>
      </xdr:nvSpPr>
      <xdr:spPr>
        <a:xfrm>
          <a:off x="6674555" y="23473834"/>
          <a:ext cx="2737556"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DG de Deportes, Ayuntamiento de Madrid</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345281</xdr:colOff>
      <xdr:row>2</xdr:row>
      <xdr:rowOff>30013</xdr:rowOff>
    </xdr:from>
    <xdr:to>
      <xdr:col>8</xdr:col>
      <xdr:colOff>267059</xdr:colOff>
      <xdr:row>18</xdr:row>
      <xdr:rowOff>140791</xdr:rowOff>
    </xdr:to>
    <xdr:graphicFrame macro="">
      <xdr:nvGraphicFramePr>
        <xdr:cNvPr id="2" name="Gráfico 1">
          <a:extLst>
            <a:ext uri="{FF2B5EF4-FFF2-40B4-BE49-F238E27FC236}">
              <a16:creationId xmlns:a16="http://schemas.microsoft.com/office/drawing/2014/main" id="{9622E1F3-3FEB-4BE2-8CC5-2305F3E0F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332050</xdr:colOff>
      <xdr:row>19</xdr:row>
      <xdr:rowOff>140109</xdr:rowOff>
    </xdr:from>
    <xdr:to>
      <xdr:col>8</xdr:col>
      <xdr:colOff>253828</xdr:colOff>
      <xdr:row>36</xdr:row>
      <xdr:rowOff>81553</xdr:rowOff>
    </xdr:to>
    <xdr:graphicFrame macro="">
      <xdr:nvGraphicFramePr>
        <xdr:cNvPr id="3" name="Gráfico 2">
          <a:extLst>
            <a:ext uri="{FF2B5EF4-FFF2-40B4-BE49-F238E27FC236}">
              <a16:creationId xmlns:a16="http://schemas.microsoft.com/office/drawing/2014/main" id="{D670F37E-5E97-42F1-90D8-B744AD714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301584</xdr:colOff>
      <xdr:row>37</xdr:row>
      <xdr:rowOff>187601</xdr:rowOff>
    </xdr:from>
    <xdr:to>
      <xdr:col>8</xdr:col>
      <xdr:colOff>220540</xdr:colOff>
      <xdr:row>54</xdr:row>
      <xdr:rowOff>129045</xdr:rowOff>
    </xdr:to>
    <xdr:graphicFrame macro="">
      <xdr:nvGraphicFramePr>
        <xdr:cNvPr id="4" name="Gráfico 3">
          <a:extLst>
            <a:ext uri="{FF2B5EF4-FFF2-40B4-BE49-F238E27FC236}">
              <a16:creationId xmlns:a16="http://schemas.microsoft.com/office/drawing/2014/main" id="{9204CCC4-CDD4-4E68-9733-FA708C14F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24533</xdr:colOff>
      <xdr:row>37</xdr:row>
      <xdr:rowOff>129375</xdr:rowOff>
    </xdr:from>
    <xdr:to>
      <xdr:col>16</xdr:col>
      <xdr:colOff>682911</xdr:colOff>
      <xdr:row>54</xdr:row>
      <xdr:rowOff>70819</xdr:rowOff>
    </xdr:to>
    <xdr:graphicFrame macro="">
      <xdr:nvGraphicFramePr>
        <xdr:cNvPr id="5" name="Gráfico 4">
          <a:extLst>
            <a:ext uri="{FF2B5EF4-FFF2-40B4-BE49-F238E27FC236}">
              <a16:creationId xmlns:a16="http://schemas.microsoft.com/office/drawing/2014/main" id="{E5585B3D-36EF-4832-8AB9-1253EBCD6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37524</xdr:colOff>
      <xdr:row>55</xdr:row>
      <xdr:rowOff>147562</xdr:rowOff>
    </xdr:from>
    <xdr:to>
      <xdr:col>16</xdr:col>
      <xdr:colOff>634149</xdr:colOff>
      <xdr:row>72</xdr:row>
      <xdr:rowOff>104000</xdr:rowOff>
    </xdr:to>
    <xdr:graphicFrame macro="">
      <xdr:nvGraphicFramePr>
        <xdr:cNvPr id="8" name="Gráfico 7">
          <a:extLst>
            <a:ext uri="{FF2B5EF4-FFF2-40B4-BE49-F238E27FC236}">
              <a16:creationId xmlns:a16="http://schemas.microsoft.com/office/drawing/2014/main" id="{EE7EFDF7-F7FE-47B3-B1D0-ACDA20712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351994</xdr:colOff>
      <xdr:row>73</xdr:row>
      <xdr:rowOff>97057</xdr:rowOff>
    </xdr:from>
    <xdr:to>
      <xdr:col>8</xdr:col>
      <xdr:colOff>9644</xdr:colOff>
      <xdr:row>89</xdr:row>
      <xdr:rowOff>154835</xdr:rowOff>
    </xdr:to>
    <xdr:graphicFrame macro="">
      <xdr:nvGraphicFramePr>
        <xdr:cNvPr id="9" name="Gráfico 8">
          <a:extLst>
            <a:ext uri="{FF2B5EF4-FFF2-40B4-BE49-F238E27FC236}">
              <a16:creationId xmlns:a16="http://schemas.microsoft.com/office/drawing/2014/main" id="{B35E96E1-92E0-4A73-9925-504ED0D58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265</xdr:colOff>
      <xdr:row>2</xdr:row>
      <xdr:rowOff>29222</xdr:rowOff>
    </xdr:from>
    <xdr:to>
      <xdr:col>16</xdr:col>
      <xdr:colOff>655821</xdr:colOff>
      <xdr:row>18</xdr:row>
      <xdr:rowOff>140000</xdr:rowOff>
    </xdr:to>
    <xdr:graphicFrame macro="">
      <xdr:nvGraphicFramePr>
        <xdr:cNvPr id="10" name="Gráfico 9">
          <a:extLst>
            <a:ext uri="{FF2B5EF4-FFF2-40B4-BE49-F238E27FC236}">
              <a16:creationId xmlns:a16="http://schemas.microsoft.com/office/drawing/2014/main" id="{0C922F49-E13F-4E07-8FE0-C903B7B89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309563</xdr:colOff>
      <xdr:row>56</xdr:row>
      <xdr:rowOff>39688</xdr:rowOff>
    </xdr:from>
    <xdr:to>
      <xdr:col>8</xdr:col>
      <xdr:colOff>214313</xdr:colOff>
      <xdr:row>72</xdr:row>
      <xdr:rowOff>150813</xdr:rowOff>
    </xdr:to>
    <xdr:graphicFrame macro="">
      <xdr:nvGraphicFramePr>
        <xdr:cNvPr id="7" name="Gráfico 6">
          <a:extLst>
            <a:ext uri="{FF2B5EF4-FFF2-40B4-BE49-F238E27FC236}">
              <a16:creationId xmlns:a16="http://schemas.microsoft.com/office/drawing/2014/main" id="{40651755-8B61-4DDE-87CB-DB4846569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349250</xdr:colOff>
      <xdr:row>71</xdr:row>
      <xdr:rowOff>166687</xdr:rowOff>
    </xdr:from>
    <xdr:to>
      <xdr:col>3</xdr:col>
      <xdr:colOff>738187</xdr:colOff>
      <xdr:row>72</xdr:row>
      <xdr:rowOff>150813</xdr:rowOff>
    </xdr:to>
    <xdr:sp macro="" textlink="">
      <xdr:nvSpPr>
        <xdr:cNvPr id="6" name="CuadroTexto 5">
          <a:extLst>
            <a:ext uri="{FF2B5EF4-FFF2-40B4-BE49-F238E27FC236}">
              <a16:creationId xmlns:a16="http://schemas.microsoft.com/office/drawing/2014/main" id="{47DB659F-F7A7-F309-D47C-E7DC3625CEBA}"/>
            </a:ext>
          </a:extLst>
        </xdr:cNvPr>
        <xdr:cNvSpPr txBox="1"/>
      </xdr:nvSpPr>
      <xdr:spPr>
        <a:xfrm>
          <a:off x="349250" y="13366750"/>
          <a:ext cx="2794000" cy="16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Portal de datos abiertos del Ayuntamiento de Madrid</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cdr:x>
      <cdr:y>0.9218</cdr:y>
    </cdr:from>
    <cdr:to>
      <cdr:x>0.46107</cdr:x>
      <cdr:y>1</cdr:y>
    </cdr:to>
    <cdr:sp macro="" textlink="">
      <cdr:nvSpPr>
        <cdr:cNvPr id="2" name="CuadroTexto 1">
          <a:extLst xmlns:a="http://schemas.openxmlformats.org/drawingml/2006/main">
            <a:ext uri="{FF2B5EF4-FFF2-40B4-BE49-F238E27FC236}">
              <a16:creationId xmlns:a16="http://schemas.microsoft.com/office/drawing/2014/main" id="{455AD869-BACE-3266-5D65-D9BAB876A775}"/>
            </a:ext>
          </a:extLst>
        </cdr:cNvPr>
        <cdr:cNvSpPr txBox="1"/>
      </cdr:nvSpPr>
      <cdr:spPr>
        <a:xfrm xmlns:a="http://schemas.openxmlformats.org/drawingml/2006/main">
          <a:off x="0" y="2806881"/>
          <a:ext cx="29210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Estadística del Ayuntamiento de Madrid</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347382</xdr:colOff>
      <xdr:row>1</xdr:row>
      <xdr:rowOff>168787</xdr:rowOff>
    </xdr:from>
    <xdr:to>
      <xdr:col>8</xdr:col>
      <xdr:colOff>291032</xdr:colOff>
      <xdr:row>18</xdr:row>
      <xdr:rowOff>98237</xdr:rowOff>
    </xdr:to>
    <xdr:graphicFrame macro="">
      <xdr:nvGraphicFramePr>
        <xdr:cNvPr id="2" name="Gráfico 1">
          <a:extLst>
            <a:ext uri="{FF2B5EF4-FFF2-40B4-BE49-F238E27FC236}">
              <a16:creationId xmlns:a16="http://schemas.microsoft.com/office/drawing/2014/main" id="{A51A04D3-DD05-4FD8-A05A-CAA6EBCA5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14008</xdr:colOff>
      <xdr:row>1</xdr:row>
      <xdr:rowOff>154408</xdr:rowOff>
    </xdr:from>
    <xdr:to>
      <xdr:col>16</xdr:col>
      <xdr:colOff>757758</xdr:colOff>
      <xdr:row>18</xdr:row>
      <xdr:rowOff>83858</xdr:rowOff>
    </xdr:to>
    <xdr:graphicFrame macro="">
      <xdr:nvGraphicFramePr>
        <xdr:cNvPr id="3" name="Gráfico 2">
          <a:extLst>
            <a:ext uri="{FF2B5EF4-FFF2-40B4-BE49-F238E27FC236}">
              <a16:creationId xmlns:a16="http://schemas.microsoft.com/office/drawing/2014/main" id="{53A38E45-129A-4859-B041-AD218D94B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324970</xdr:colOff>
      <xdr:row>19</xdr:row>
      <xdr:rowOff>170189</xdr:rowOff>
    </xdr:from>
    <xdr:to>
      <xdr:col>8</xdr:col>
      <xdr:colOff>268620</xdr:colOff>
      <xdr:row>35</xdr:row>
      <xdr:rowOff>162277</xdr:rowOff>
    </xdr:to>
    <xdr:graphicFrame macro="">
      <xdr:nvGraphicFramePr>
        <xdr:cNvPr id="4" name="Gráfico 3">
          <a:extLst>
            <a:ext uri="{FF2B5EF4-FFF2-40B4-BE49-F238E27FC236}">
              <a16:creationId xmlns:a16="http://schemas.microsoft.com/office/drawing/2014/main" id="{ED5168CF-7DDC-40B0-9D3A-FBBAF5C6D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777619</xdr:colOff>
      <xdr:row>19</xdr:row>
      <xdr:rowOff>161363</xdr:rowOff>
    </xdr:from>
    <xdr:to>
      <xdr:col>16</xdr:col>
      <xdr:colOff>752928</xdr:colOff>
      <xdr:row>36</xdr:row>
      <xdr:rowOff>136072</xdr:rowOff>
    </xdr:to>
    <xdr:graphicFrame macro="">
      <xdr:nvGraphicFramePr>
        <xdr:cNvPr id="5" name="Gráfico 4">
          <a:extLst>
            <a:ext uri="{FF2B5EF4-FFF2-40B4-BE49-F238E27FC236}">
              <a16:creationId xmlns:a16="http://schemas.microsoft.com/office/drawing/2014/main" id="{9D047C1C-5AF4-4261-9D8A-2BAC5CE5D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25213</xdr:colOff>
      <xdr:row>37</xdr:row>
      <xdr:rowOff>174481</xdr:rowOff>
    </xdr:from>
    <xdr:to>
      <xdr:col>16</xdr:col>
      <xdr:colOff>768963</xdr:colOff>
      <xdr:row>54</xdr:row>
      <xdr:rowOff>103931</xdr:rowOff>
    </xdr:to>
    <xdr:graphicFrame macro="">
      <xdr:nvGraphicFramePr>
        <xdr:cNvPr id="6" name="Gráfico 5">
          <a:extLst>
            <a:ext uri="{FF2B5EF4-FFF2-40B4-BE49-F238E27FC236}">
              <a16:creationId xmlns:a16="http://schemas.microsoft.com/office/drawing/2014/main" id="{DA051618-B8D5-4301-B4E5-A513E3BE4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28200</xdr:colOff>
      <xdr:row>78</xdr:row>
      <xdr:rowOff>53152</xdr:rowOff>
    </xdr:from>
    <xdr:to>
      <xdr:col>16</xdr:col>
      <xdr:colOff>764013</xdr:colOff>
      <xdr:row>95</xdr:row>
      <xdr:rowOff>9589</xdr:rowOff>
    </xdr:to>
    <xdr:graphicFrame macro="">
      <xdr:nvGraphicFramePr>
        <xdr:cNvPr id="7" name="Gráfico 6">
          <a:extLst>
            <a:ext uri="{FF2B5EF4-FFF2-40B4-BE49-F238E27FC236}">
              <a16:creationId xmlns:a16="http://schemas.microsoft.com/office/drawing/2014/main" id="{8FD64FC3-2DC1-4D36-B04D-9E2F2FCF3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315979</xdr:colOff>
      <xdr:row>78</xdr:row>
      <xdr:rowOff>74825</xdr:rowOff>
    </xdr:from>
    <xdr:to>
      <xdr:col>8</xdr:col>
      <xdr:colOff>250104</xdr:colOff>
      <xdr:row>95</xdr:row>
      <xdr:rowOff>31262</xdr:rowOff>
    </xdr:to>
    <xdr:graphicFrame macro="">
      <xdr:nvGraphicFramePr>
        <xdr:cNvPr id="8" name="Gráfico 7">
          <a:extLst>
            <a:ext uri="{FF2B5EF4-FFF2-40B4-BE49-F238E27FC236}">
              <a16:creationId xmlns:a16="http://schemas.microsoft.com/office/drawing/2014/main" id="{7973567E-A107-4F18-BDE7-E632F5E7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313765</xdr:colOff>
      <xdr:row>37</xdr:row>
      <xdr:rowOff>183400</xdr:rowOff>
    </xdr:from>
    <xdr:to>
      <xdr:col>8</xdr:col>
      <xdr:colOff>257415</xdr:colOff>
      <xdr:row>54</xdr:row>
      <xdr:rowOff>112850</xdr:rowOff>
    </xdr:to>
    <xdr:graphicFrame macro="">
      <xdr:nvGraphicFramePr>
        <xdr:cNvPr id="12" name="Gráfico 11">
          <a:extLst>
            <a:ext uri="{FF2B5EF4-FFF2-40B4-BE49-F238E27FC236}">
              <a16:creationId xmlns:a16="http://schemas.microsoft.com/office/drawing/2014/main" id="{1F5327B2-E041-42F2-9FB2-6D22D715A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339632</xdr:colOff>
      <xdr:row>97</xdr:row>
      <xdr:rowOff>62167</xdr:rowOff>
    </xdr:from>
    <xdr:to>
      <xdr:col>8</xdr:col>
      <xdr:colOff>273757</xdr:colOff>
      <xdr:row>114</xdr:row>
      <xdr:rowOff>18605</xdr:rowOff>
    </xdr:to>
    <xdr:graphicFrame macro="">
      <xdr:nvGraphicFramePr>
        <xdr:cNvPr id="13" name="Gráfico 12">
          <a:extLst>
            <a:ext uri="{FF2B5EF4-FFF2-40B4-BE49-F238E27FC236}">
              <a16:creationId xmlns:a16="http://schemas.microsoft.com/office/drawing/2014/main" id="{88F30BE3-6A69-49AF-8882-9B7745A70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279167</xdr:colOff>
      <xdr:row>55</xdr:row>
      <xdr:rowOff>162927</xdr:rowOff>
    </xdr:from>
    <xdr:to>
      <xdr:col>16</xdr:col>
      <xdr:colOff>775164</xdr:colOff>
      <xdr:row>77</xdr:row>
      <xdr:rowOff>20507</xdr:rowOff>
    </xdr:to>
    <xdr:graphicFrame macro="">
      <xdr:nvGraphicFramePr>
        <xdr:cNvPr id="14" name="Gráfico 13">
          <a:extLst>
            <a:ext uri="{FF2B5EF4-FFF2-40B4-BE49-F238E27FC236}">
              <a16:creationId xmlns:a16="http://schemas.microsoft.com/office/drawing/2014/main" id="{EAFFB0B1-C14D-4F42-B22E-EA96AE069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0</xdr:colOff>
      <xdr:row>38</xdr:row>
      <xdr:rowOff>0</xdr:rowOff>
    </xdr:from>
    <xdr:to>
      <xdr:col>25</xdr:col>
      <xdr:colOff>705030</xdr:colOff>
      <xdr:row>54</xdr:row>
      <xdr:rowOff>115303</xdr:rowOff>
    </xdr:to>
    <xdr:graphicFrame macro="">
      <xdr:nvGraphicFramePr>
        <xdr:cNvPr id="9" name="Gráfico 8">
          <a:extLst>
            <a:ext uri="{FF2B5EF4-FFF2-40B4-BE49-F238E27FC236}">
              <a16:creationId xmlns:a16="http://schemas.microsoft.com/office/drawing/2014/main" id="{1CF15C92-1FEB-4381-B115-D7FBCC1E7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268111</xdr:colOff>
      <xdr:row>36</xdr:row>
      <xdr:rowOff>3527</xdr:rowOff>
    </xdr:from>
    <xdr:to>
      <xdr:col>8</xdr:col>
      <xdr:colOff>310444</xdr:colOff>
      <xdr:row>36</xdr:row>
      <xdr:rowOff>169333</xdr:rowOff>
    </xdr:to>
    <xdr:sp macro="" textlink="">
      <xdr:nvSpPr>
        <xdr:cNvPr id="10" name="CuadroTexto 9">
          <a:extLst>
            <a:ext uri="{FF2B5EF4-FFF2-40B4-BE49-F238E27FC236}">
              <a16:creationId xmlns:a16="http://schemas.microsoft.com/office/drawing/2014/main" id="{F6678E9F-59AB-0D36-441C-703B92AFBBC7}"/>
            </a:ext>
          </a:extLst>
        </xdr:cNvPr>
        <xdr:cNvSpPr txBox="1"/>
      </xdr:nvSpPr>
      <xdr:spPr>
        <a:xfrm>
          <a:off x="268111" y="6833305"/>
          <a:ext cx="6378222" cy="165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   Fuente: Encuesta de Calidad de Vida y Satisfacción con los Servicios Públicos de la Ciudad de Madrid. Dirección General de Transparencia y Calidad del Ayuntamiento de Madrid.</a:t>
          </a:r>
        </a:p>
      </xdr:txBody>
    </xdr:sp>
    <xdr:clientData/>
  </xdr:twoCellAnchor>
  <xdr:twoCellAnchor>
    <xdr:from>
      <xdr:col>8</xdr:col>
      <xdr:colOff>698504</xdr:colOff>
      <xdr:row>36</xdr:row>
      <xdr:rowOff>99790</xdr:rowOff>
    </xdr:from>
    <xdr:to>
      <xdr:col>16</xdr:col>
      <xdr:colOff>673813</xdr:colOff>
      <xdr:row>37</xdr:row>
      <xdr:rowOff>84765</xdr:rowOff>
    </xdr:to>
    <xdr:sp macro="" textlink="">
      <xdr:nvSpPr>
        <xdr:cNvPr id="16" name="CuadroTexto 9">
          <a:extLst>
            <a:ext uri="{FF2B5EF4-FFF2-40B4-BE49-F238E27FC236}">
              <a16:creationId xmlns:a16="http://schemas.microsoft.com/office/drawing/2014/main" id="{BD6DBF77-9469-3DE9-F105-E81A4DA7DBB4}"/>
            </a:ext>
          </a:extLst>
        </xdr:cNvPr>
        <xdr:cNvSpPr txBox="1"/>
      </xdr:nvSpPr>
      <xdr:spPr>
        <a:xfrm>
          <a:off x="7039433" y="6858004"/>
          <a:ext cx="6316237" cy="166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ES" sz="800"/>
            <a:t>   Fuente: Encuesta de Calidad de Vida y Satisfacción con los Servicios Públicos de la Ciudad de Madrid. Dirección General de Transparencia y Calidad del Ayuntamiento de Madrid.</a:t>
          </a:r>
        </a:p>
      </xdr:txBody>
    </xdr:sp>
    <xdr:clientData/>
  </xdr:twoCellAnchor>
  <xdr:twoCellAnchor>
    <xdr:from>
      <xdr:col>0</xdr:col>
      <xdr:colOff>217714</xdr:colOff>
      <xdr:row>54</xdr:row>
      <xdr:rowOff>72568</xdr:rowOff>
    </xdr:from>
    <xdr:to>
      <xdr:col>8</xdr:col>
      <xdr:colOff>526142</xdr:colOff>
      <xdr:row>56</xdr:row>
      <xdr:rowOff>90711</xdr:rowOff>
    </xdr:to>
    <xdr:sp macro="" textlink="">
      <xdr:nvSpPr>
        <xdr:cNvPr id="24" name="CuadroTexto 1">
          <a:extLst>
            <a:ext uri="{FF2B5EF4-FFF2-40B4-BE49-F238E27FC236}">
              <a16:creationId xmlns:a16="http://schemas.microsoft.com/office/drawing/2014/main" id="{389635D6-F52F-6987-A78C-ACB65B63591D}"/>
            </a:ext>
          </a:extLst>
        </xdr:cNvPr>
        <xdr:cNvSpPr txBox="1"/>
      </xdr:nvSpPr>
      <xdr:spPr>
        <a:xfrm>
          <a:off x="217714" y="10096497"/>
          <a:ext cx="6649357" cy="3810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ES" sz="800">
              <a:effectLst/>
              <a:latin typeface="+mn-lt"/>
              <a:ea typeface="+mn-ea"/>
              <a:cs typeface="+mn-cs"/>
            </a:rPr>
            <a:t>   Fuente: Encuesta de Calidad de Vida y Satisfacción con los Servicios Públicos de la Ciudad de Madrid. Dirección General de Transparencia y Calidad del Ayuntamiento de Madrid.</a:t>
          </a:r>
          <a:endParaRPr lang="es-ES" sz="800">
            <a:effectLst/>
          </a:endParaRPr>
        </a:p>
        <a:p>
          <a:endParaRPr lang="es-ES" sz="800"/>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0.01943</cdr:x>
      <cdr:y>0.9079</cdr:y>
    </cdr:from>
    <cdr:to>
      <cdr:x>0.52883</cdr:x>
      <cdr:y>0.98766</cdr:y>
    </cdr:to>
    <cdr:sp macro="" textlink="">
      <cdr:nvSpPr>
        <cdr:cNvPr id="2" name="CuadroTexto 1">
          <a:extLst xmlns:a="http://schemas.openxmlformats.org/drawingml/2006/main">
            <a:ext uri="{FF2B5EF4-FFF2-40B4-BE49-F238E27FC236}">
              <a16:creationId xmlns:a16="http://schemas.microsoft.com/office/drawing/2014/main" id="{CF83F84E-4044-7951-1287-F59363FDA1E2}"/>
            </a:ext>
          </a:extLst>
        </cdr:cNvPr>
        <cdr:cNvSpPr txBox="1"/>
      </cdr:nvSpPr>
      <cdr:spPr>
        <a:xfrm xmlns:a="http://schemas.openxmlformats.org/drawingml/2006/main">
          <a:off x="256047" y="3511002"/>
          <a:ext cx="6712857" cy="3084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800"/>
        </a:p>
      </cdr:txBody>
    </cdr:sp>
  </cdr:relSizeAnchor>
  <cdr:relSizeAnchor xmlns:cdr="http://schemas.openxmlformats.org/drawingml/2006/chartDrawing">
    <cdr:from>
      <cdr:x>0</cdr:x>
      <cdr:y>0.90382</cdr:y>
    </cdr:from>
    <cdr:to>
      <cdr:x>0.92381</cdr:x>
      <cdr:y>1</cdr:y>
    </cdr:to>
    <cdr:sp macro="" textlink="">
      <cdr:nvSpPr>
        <cdr:cNvPr id="3" name="CuadroTexto 2">
          <a:extLst xmlns:a="http://schemas.openxmlformats.org/drawingml/2006/main">
            <a:ext uri="{FF2B5EF4-FFF2-40B4-BE49-F238E27FC236}">
              <a16:creationId xmlns:a16="http://schemas.microsoft.com/office/drawing/2014/main" id="{8D0D5A56-B7CE-6032-EE4C-802159F5CA22}"/>
            </a:ext>
          </a:extLst>
        </cdr:cNvPr>
        <cdr:cNvSpPr txBox="1"/>
      </cdr:nvSpPr>
      <cdr:spPr>
        <a:xfrm xmlns:a="http://schemas.openxmlformats.org/drawingml/2006/main">
          <a:off x="0" y="3495223"/>
          <a:ext cx="12173857"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a:effectLst/>
              <a:latin typeface="+mn-lt"/>
              <a:ea typeface="+mn-ea"/>
              <a:cs typeface="+mn-cs"/>
            </a:rPr>
            <a:t>  </a:t>
          </a:r>
        </a:p>
        <a:p xmlns:a="http://schemas.openxmlformats.org/drawingml/2006/main">
          <a:r>
            <a:rPr lang="es-ES" sz="900">
              <a:effectLst/>
              <a:latin typeface="+mn-lt"/>
              <a:ea typeface="+mn-ea"/>
              <a:cs typeface="+mn-cs"/>
            </a:rPr>
            <a:t> Fuente: Encuesta de Calidad de Vida y Satisfacción con los Servicios Públicos de la Ciudad de Madrid. Dirección General de Transparencia y Calidad del Ayuntamiento de Madrid</a:t>
          </a:r>
          <a:endParaRPr lang="es-ES" sz="900"/>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249767</xdr:colOff>
      <xdr:row>4</xdr:row>
      <xdr:rowOff>26458</xdr:rowOff>
    </xdr:from>
    <xdr:to>
      <xdr:col>17</xdr:col>
      <xdr:colOff>533400</xdr:colOff>
      <xdr:row>16</xdr:row>
      <xdr:rowOff>183091</xdr:rowOff>
    </xdr:to>
    <xdr:graphicFrame macro="">
      <xdr:nvGraphicFramePr>
        <xdr:cNvPr id="2" name="Gráfico1">
          <a:extLst>
            <a:ext uri="{FF2B5EF4-FFF2-40B4-BE49-F238E27FC236}">
              <a16:creationId xmlns:a16="http://schemas.microsoft.com/office/drawing/2014/main" id="{3952368D-5192-4E5C-93FD-358154113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621242</xdr:colOff>
      <xdr:row>22</xdr:row>
      <xdr:rowOff>179386</xdr:rowOff>
    </xdr:from>
    <xdr:to>
      <xdr:col>17</xdr:col>
      <xdr:colOff>906387</xdr:colOff>
      <xdr:row>49</xdr:row>
      <xdr:rowOff>26458</xdr:rowOff>
    </xdr:to>
    <xdr:graphicFrame macro="">
      <xdr:nvGraphicFramePr>
        <xdr:cNvPr id="3" name="Gráfico 2">
          <a:extLst>
            <a:ext uri="{FF2B5EF4-FFF2-40B4-BE49-F238E27FC236}">
              <a16:creationId xmlns:a16="http://schemas.microsoft.com/office/drawing/2014/main" id="{0209BC5A-AFA9-4A06-976E-683934C53378}"/>
            </a:ext>
            <a:ext uri="{147F2762-F138-4A5C-976F-8EAC2B608ADB}">
              <a16:predDERef xmlns:a16="http://schemas.microsoft.com/office/drawing/2014/main" pred="{3952368D-5192-4E5C-93FD-358154113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721178</xdr:colOff>
      <xdr:row>56</xdr:row>
      <xdr:rowOff>180070</xdr:rowOff>
    </xdr:from>
    <xdr:to>
      <xdr:col>8</xdr:col>
      <xdr:colOff>75488</xdr:colOff>
      <xdr:row>73</xdr:row>
      <xdr:rowOff>146712</xdr:rowOff>
    </xdr:to>
    <xdr:graphicFrame macro="">
      <xdr:nvGraphicFramePr>
        <xdr:cNvPr id="4" name="Gráfico 3">
          <a:extLst>
            <a:ext uri="{FF2B5EF4-FFF2-40B4-BE49-F238E27FC236}">
              <a16:creationId xmlns:a16="http://schemas.microsoft.com/office/drawing/2014/main" id="{5FF31901-1E65-4E11-8707-2C8E04771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400049</xdr:colOff>
      <xdr:row>57</xdr:row>
      <xdr:rowOff>122615</xdr:rowOff>
    </xdr:from>
    <xdr:to>
      <xdr:col>18</xdr:col>
      <xdr:colOff>588930</xdr:colOff>
      <xdr:row>74</xdr:row>
      <xdr:rowOff>89257</xdr:rowOff>
    </xdr:to>
    <xdr:graphicFrame macro="">
      <xdr:nvGraphicFramePr>
        <xdr:cNvPr id="5" name="Gráfico 4">
          <a:extLst>
            <a:ext uri="{FF2B5EF4-FFF2-40B4-BE49-F238E27FC236}">
              <a16:creationId xmlns:a16="http://schemas.microsoft.com/office/drawing/2014/main" id="{8ECD870D-338E-4F03-B551-0B1BCA99A3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163286</xdr:colOff>
      <xdr:row>17</xdr:row>
      <xdr:rowOff>6048</xdr:rowOff>
    </xdr:from>
    <xdr:to>
      <xdr:col>17</xdr:col>
      <xdr:colOff>501953</xdr:colOff>
      <xdr:row>19</xdr:row>
      <xdr:rowOff>123976</xdr:rowOff>
    </xdr:to>
    <xdr:sp macro="" textlink="">
      <xdr:nvSpPr>
        <xdr:cNvPr id="6" name="CuadroTexto 5">
          <a:extLst>
            <a:ext uri="{FF2B5EF4-FFF2-40B4-BE49-F238E27FC236}">
              <a16:creationId xmlns:a16="http://schemas.microsoft.com/office/drawing/2014/main" id="{1AEB5CC3-B3E6-8601-451E-FC8FDFB56814}"/>
            </a:ext>
          </a:extLst>
        </xdr:cNvPr>
        <xdr:cNvSpPr txBox="1"/>
      </xdr:nvSpPr>
      <xdr:spPr>
        <a:xfrm>
          <a:off x="1179286" y="3317119"/>
          <a:ext cx="13446881" cy="480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Estadística del Ayuntamiento de Madrid</a:t>
          </a:r>
        </a:p>
      </xdr:txBody>
    </xdr:sp>
    <xdr:clientData/>
  </xdr:twoCellAnchor>
  <xdr:twoCellAnchor>
    <xdr:from>
      <xdr:col>1</xdr:col>
      <xdr:colOff>671286</xdr:colOff>
      <xdr:row>49</xdr:row>
      <xdr:rowOff>127000</xdr:rowOff>
    </xdr:from>
    <xdr:to>
      <xdr:col>10</xdr:col>
      <xdr:colOff>444500</xdr:colOff>
      <xdr:row>52</xdr:row>
      <xdr:rowOff>81643</xdr:rowOff>
    </xdr:to>
    <xdr:sp macro="" textlink="">
      <xdr:nvSpPr>
        <xdr:cNvPr id="9" name="CuadroTexto 8">
          <a:extLst>
            <a:ext uri="{FF2B5EF4-FFF2-40B4-BE49-F238E27FC236}">
              <a16:creationId xmlns:a16="http://schemas.microsoft.com/office/drawing/2014/main" id="{69A3FFCE-FC5C-B670-A7B2-AFE690F10D7E}"/>
            </a:ext>
          </a:extLst>
        </xdr:cNvPr>
        <xdr:cNvSpPr txBox="1"/>
      </xdr:nvSpPr>
      <xdr:spPr>
        <a:xfrm>
          <a:off x="1687286" y="10314214"/>
          <a:ext cx="7293428" cy="498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900">
              <a:solidFill>
                <a:schemeClr val="dk1"/>
              </a:solidFill>
              <a:effectLst/>
              <a:latin typeface="+mn-lt"/>
              <a:ea typeface="+mn-ea"/>
              <a:cs typeface="+mn-cs"/>
            </a:rPr>
            <a:t>Fuente: Estadística del Ayuntamiento de Madrid</a:t>
          </a:r>
          <a:endParaRPr lang="es-ES" sz="900">
            <a:effectLst/>
          </a:endParaRPr>
        </a:p>
        <a:p>
          <a:endParaRPr lang="es-E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337706</xdr:colOff>
      <xdr:row>2</xdr:row>
      <xdr:rowOff>865</xdr:rowOff>
    </xdr:from>
    <xdr:to>
      <xdr:col>8</xdr:col>
      <xdr:colOff>224206</xdr:colOff>
      <xdr:row>18</xdr:row>
      <xdr:rowOff>139865</xdr:rowOff>
    </xdr:to>
    <xdr:graphicFrame macro="">
      <xdr:nvGraphicFramePr>
        <xdr:cNvPr id="2" name="Gráfico 1">
          <a:extLst>
            <a:ext uri="{FF2B5EF4-FFF2-40B4-BE49-F238E27FC236}">
              <a16:creationId xmlns:a16="http://schemas.microsoft.com/office/drawing/2014/main" id="{B97DECB5-927C-44C5-B6EB-1E3138A95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281420</xdr:colOff>
      <xdr:row>56</xdr:row>
      <xdr:rowOff>50062</xdr:rowOff>
    </xdr:from>
    <xdr:to>
      <xdr:col>8</xdr:col>
      <xdr:colOff>167920</xdr:colOff>
      <xdr:row>73</xdr:row>
      <xdr:rowOff>6500</xdr:rowOff>
    </xdr:to>
    <xdr:graphicFrame macro="">
      <xdr:nvGraphicFramePr>
        <xdr:cNvPr id="3" name="Gráfico 2">
          <a:extLst>
            <a:ext uri="{FF2B5EF4-FFF2-40B4-BE49-F238E27FC236}">
              <a16:creationId xmlns:a16="http://schemas.microsoft.com/office/drawing/2014/main" id="{1A14BC38-AF16-4C98-81EC-7BF22B32B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234131</xdr:colOff>
      <xdr:row>74</xdr:row>
      <xdr:rowOff>84874</xdr:rowOff>
    </xdr:from>
    <xdr:to>
      <xdr:col>8</xdr:col>
      <xdr:colOff>120631</xdr:colOff>
      <xdr:row>91</xdr:row>
      <xdr:rowOff>41312</xdr:rowOff>
    </xdr:to>
    <xdr:graphicFrame macro="">
      <xdr:nvGraphicFramePr>
        <xdr:cNvPr id="4" name="Gráfico 3">
          <a:extLst>
            <a:ext uri="{FF2B5EF4-FFF2-40B4-BE49-F238E27FC236}">
              <a16:creationId xmlns:a16="http://schemas.microsoft.com/office/drawing/2014/main" id="{8A05CDB4-D188-4BF8-B39E-33FB48417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501249</xdr:colOff>
      <xdr:row>74</xdr:row>
      <xdr:rowOff>85246</xdr:rowOff>
    </xdr:from>
    <xdr:to>
      <xdr:col>16</xdr:col>
      <xdr:colOff>387749</xdr:colOff>
      <xdr:row>91</xdr:row>
      <xdr:rowOff>41684</xdr:rowOff>
    </xdr:to>
    <xdr:graphicFrame macro="">
      <xdr:nvGraphicFramePr>
        <xdr:cNvPr id="5" name="Gráfico 4">
          <a:extLst>
            <a:ext uri="{FF2B5EF4-FFF2-40B4-BE49-F238E27FC236}">
              <a16:creationId xmlns:a16="http://schemas.microsoft.com/office/drawing/2014/main" id="{AA1476AD-83E3-4E44-BBB7-AC1AA034E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329045</xdr:colOff>
      <xdr:row>20</xdr:row>
      <xdr:rowOff>706</xdr:rowOff>
    </xdr:from>
    <xdr:to>
      <xdr:col>8</xdr:col>
      <xdr:colOff>215545</xdr:colOff>
      <xdr:row>36</xdr:row>
      <xdr:rowOff>139706</xdr:rowOff>
    </xdr:to>
    <xdr:graphicFrame macro="">
      <xdr:nvGraphicFramePr>
        <xdr:cNvPr id="7" name="Gráfico 6">
          <a:extLst>
            <a:ext uri="{FF2B5EF4-FFF2-40B4-BE49-F238E27FC236}">
              <a16:creationId xmlns:a16="http://schemas.microsoft.com/office/drawing/2014/main" id="{F971517C-60E6-40E8-86D5-C50A4DEBF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789608</xdr:colOff>
      <xdr:row>19</xdr:row>
      <xdr:rowOff>180296</xdr:rowOff>
    </xdr:from>
    <xdr:to>
      <xdr:col>16</xdr:col>
      <xdr:colOff>676108</xdr:colOff>
      <xdr:row>36</xdr:row>
      <xdr:rowOff>136733</xdr:rowOff>
    </xdr:to>
    <xdr:graphicFrame macro="">
      <xdr:nvGraphicFramePr>
        <xdr:cNvPr id="8" name="Gráfico 7">
          <a:extLst>
            <a:ext uri="{FF2B5EF4-FFF2-40B4-BE49-F238E27FC236}">
              <a16:creationId xmlns:a16="http://schemas.microsoft.com/office/drawing/2014/main" id="{93D2C5BD-84D7-4249-AD22-4430AA38F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288637</xdr:colOff>
      <xdr:row>38</xdr:row>
      <xdr:rowOff>-1</xdr:rowOff>
    </xdr:from>
    <xdr:to>
      <xdr:col>8</xdr:col>
      <xdr:colOff>175137</xdr:colOff>
      <xdr:row>54</xdr:row>
      <xdr:rowOff>138999</xdr:rowOff>
    </xdr:to>
    <xdr:graphicFrame macro="">
      <xdr:nvGraphicFramePr>
        <xdr:cNvPr id="9" name="Gráfico 8">
          <a:extLst>
            <a:ext uri="{FF2B5EF4-FFF2-40B4-BE49-F238E27FC236}">
              <a16:creationId xmlns:a16="http://schemas.microsoft.com/office/drawing/2014/main" id="{3A0ABC08-92A9-4CAA-81C2-DE6512895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791296</xdr:colOff>
      <xdr:row>37</xdr:row>
      <xdr:rowOff>178377</xdr:rowOff>
    </xdr:from>
    <xdr:to>
      <xdr:col>16</xdr:col>
      <xdr:colOff>677796</xdr:colOff>
      <xdr:row>54</xdr:row>
      <xdr:rowOff>134814</xdr:rowOff>
    </xdr:to>
    <xdr:graphicFrame macro="">
      <xdr:nvGraphicFramePr>
        <xdr:cNvPr id="10" name="Gráfico 9">
          <a:extLst>
            <a:ext uri="{FF2B5EF4-FFF2-40B4-BE49-F238E27FC236}">
              <a16:creationId xmlns:a16="http://schemas.microsoft.com/office/drawing/2014/main" id="{56FB2079-85EA-431A-8DF9-E25205330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650875</xdr:colOff>
      <xdr:row>90</xdr:row>
      <xdr:rowOff>0</xdr:rowOff>
    </xdr:from>
    <xdr:to>
      <xdr:col>13</xdr:col>
      <xdr:colOff>190500</xdr:colOff>
      <xdr:row>91</xdr:row>
      <xdr:rowOff>15875</xdr:rowOff>
    </xdr:to>
    <xdr:sp macro="" textlink="">
      <xdr:nvSpPr>
        <xdr:cNvPr id="6" name="CuadroTexto 5">
          <a:extLst>
            <a:ext uri="{FF2B5EF4-FFF2-40B4-BE49-F238E27FC236}">
              <a16:creationId xmlns:a16="http://schemas.microsoft.com/office/drawing/2014/main" id="{8D5B00B4-8524-7069-9D70-D398B856E304}"/>
            </a:ext>
          </a:extLst>
        </xdr:cNvPr>
        <xdr:cNvSpPr txBox="1"/>
      </xdr:nvSpPr>
      <xdr:spPr>
        <a:xfrm>
          <a:off x="7064375" y="16660813"/>
          <a:ext cx="3548063" cy="198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 Subdirección General de Estadística.</a:t>
          </a:r>
          <a:r>
            <a:rPr lang="es-ES" sz="800" baseline="0"/>
            <a:t> </a:t>
          </a:r>
          <a:r>
            <a:rPr lang="es-ES" sz="800"/>
            <a:t>Ayto de Madrid.</a:t>
          </a:r>
          <a:r>
            <a:rPr lang="es-ES" sz="800" baseline="0"/>
            <a:t> Elaboración propia </a:t>
          </a:r>
          <a:endParaRPr lang="es-ES" sz="8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0.06998</cdr:x>
      <cdr:y>0.91487</cdr:y>
    </cdr:from>
    <cdr:to>
      <cdr:x>0.33709</cdr:x>
      <cdr:y>0.99269</cdr:y>
    </cdr:to>
    <cdr:sp macro="" textlink="">
      <cdr:nvSpPr>
        <cdr:cNvPr id="2" name="CuadroTexto 1">
          <a:extLst xmlns:a="http://schemas.openxmlformats.org/drawingml/2006/main">
            <a:ext uri="{FF2B5EF4-FFF2-40B4-BE49-F238E27FC236}">
              <a16:creationId xmlns:a16="http://schemas.microsoft.com/office/drawing/2014/main" id="{5ABEF31B-1B8F-01D6-E8D8-B3352A7FF834}"/>
            </a:ext>
          </a:extLst>
        </cdr:cNvPr>
        <cdr:cNvSpPr txBox="1"/>
      </cdr:nvSpPr>
      <cdr:spPr>
        <a:xfrm xmlns:a="http://schemas.openxmlformats.org/drawingml/2006/main">
          <a:off x="440893" y="2799500"/>
          <a:ext cx="1682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cdr:x>
      <cdr:y>0.92351</cdr:y>
    </cdr:from>
    <cdr:to>
      <cdr:x>0.60728</cdr:x>
      <cdr:y>1</cdr:y>
    </cdr:to>
    <cdr:sp macro="" textlink="">
      <cdr:nvSpPr>
        <cdr:cNvPr id="3" name="CuadroTexto 1">
          <a:extLst xmlns:a="http://schemas.openxmlformats.org/drawingml/2006/main">
            <a:ext uri="{FF2B5EF4-FFF2-40B4-BE49-F238E27FC236}">
              <a16:creationId xmlns:a16="http://schemas.microsoft.com/office/drawing/2014/main" id="{4E8B4BFB-CBA3-1798-3EBE-B345B4B6A91E}"/>
            </a:ext>
          </a:extLst>
        </cdr:cNvPr>
        <cdr:cNvSpPr txBox="1"/>
      </cdr:nvSpPr>
      <cdr:spPr>
        <a:xfrm xmlns:a="http://schemas.openxmlformats.org/drawingml/2006/main">
          <a:off x="0" y="2825936"/>
          <a:ext cx="3825875" cy="234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t>Fuente:</a:t>
          </a:r>
          <a:r>
            <a:rPr lang="es-ES" sz="800" baseline="0"/>
            <a:t> </a:t>
          </a:r>
          <a:r>
            <a:rPr lang="es-ES" sz="800"/>
            <a:t>Subdirección General de Estadística. Ayto de Madrid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0.92351</cdr:y>
    </cdr:from>
    <cdr:to>
      <cdr:x>0.60728</cdr:x>
      <cdr:y>1</cdr:y>
    </cdr:to>
    <cdr:sp macro="" textlink="">
      <cdr:nvSpPr>
        <cdr:cNvPr id="3" name="CuadroTexto 2">
          <a:extLst xmlns:a="http://schemas.openxmlformats.org/drawingml/2006/main">
            <a:ext uri="{FF2B5EF4-FFF2-40B4-BE49-F238E27FC236}">
              <a16:creationId xmlns:a16="http://schemas.microsoft.com/office/drawing/2014/main" id="{561E34FA-C5BF-8DBE-6378-21AA30405177}"/>
            </a:ext>
          </a:extLst>
        </cdr:cNvPr>
        <cdr:cNvSpPr txBox="1"/>
      </cdr:nvSpPr>
      <cdr:spPr>
        <a:xfrm xmlns:a="http://schemas.openxmlformats.org/drawingml/2006/main">
          <a:off x="0" y="2825936"/>
          <a:ext cx="3825875" cy="234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a:t>
          </a:r>
          <a:r>
            <a:rPr lang="es-ES" sz="800" baseline="0"/>
            <a:t> </a:t>
          </a:r>
          <a:r>
            <a:rPr lang="es-ES" sz="800"/>
            <a:t>Subdirección General de Estadística. Ayto de Madrid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137583</xdr:colOff>
      <xdr:row>1</xdr:row>
      <xdr:rowOff>137584</xdr:rowOff>
    </xdr:from>
    <xdr:to>
      <xdr:col>7</xdr:col>
      <xdr:colOff>645770</xdr:colOff>
      <xdr:row>17</xdr:row>
      <xdr:rowOff>88647</xdr:rowOff>
    </xdr:to>
    <xdr:graphicFrame macro="">
      <xdr:nvGraphicFramePr>
        <xdr:cNvPr id="2" name="Gráfico 1">
          <a:extLst>
            <a:ext uri="{FF2B5EF4-FFF2-40B4-BE49-F238E27FC236}">
              <a16:creationId xmlns:a16="http://schemas.microsoft.com/office/drawing/2014/main" id="{0692A5E2-ADED-408C-9C8C-B84ED2052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xdr:row>
      <xdr:rowOff>137582</xdr:rowOff>
    </xdr:from>
    <xdr:to>
      <xdr:col>16</xdr:col>
      <xdr:colOff>508188</xdr:colOff>
      <xdr:row>17</xdr:row>
      <xdr:rowOff>88645</xdr:rowOff>
    </xdr:to>
    <xdr:graphicFrame macro="">
      <xdr:nvGraphicFramePr>
        <xdr:cNvPr id="3" name="Gráfico 2">
          <a:extLst>
            <a:ext uri="{FF2B5EF4-FFF2-40B4-BE49-F238E27FC236}">
              <a16:creationId xmlns:a16="http://schemas.microsoft.com/office/drawing/2014/main" id="{10CA63F6-DBE2-49E1-86DC-2A6897423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159505</xdr:colOff>
      <xdr:row>19</xdr:row>
      <xdr:rowOff>182335</xdr:rowOff>
    </xdr:from>
    <xdr:to>
      <xdr:col>7</xdr:col>
      <xdr:colOff>698561</xdr:colOff>
      <xdr:row>35</xdr:row>
      <xdr:rowOff>127224</xdr:rowOff>
    </xdr:to>
    <xdr:graphicFrame macro="">
      <xdr:nvGraphicFramePr>
        <xdr:cNvPr id="4" name="Gráfico 3">
          <a:extLst>
            <a:ext uri="{FF2B5EF4-FFF2-40B4-BE49-F238E27FC236}">
              <a16:creationId xmlns:a16="http://schemas.microsoft.com/office/drawing/2014/main" id="{E043A5F7-E3D9-417F-BC09-7B3BAEC39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739730</xdr:colOff>
      <xdr:row>38</xdr:row>
      <xdr:rowOff>182774</xdr:rowOff>
    </xdr:from>
    <xdr:to>
      <xdr:col>16</xdr:col>
      <xdr:colOff>481508</xdr:colOff>
      <xdr:row>54</xdr:row>
      <xdr:rowOff>127663</xdr:rowOff>
    </xdr:to>
    <xdr:graphicFrame macro="">
      <xdr:nvGraphicFramePr>
        <xdr:cNvPr id="5" name="Gráfico 4">
          <a:extLst>
            <a:ext uri="{FF2B5EF4-FFF2-40B4-BE49-F238E27FC236}">
              <a16:creationId xmlns:a16="http://schemas.microsoft.com/office/drawing/2014/main" id="{11AAF73D-81BD-4276-9A04-DE1A08C662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57</xdr:row>
      <xdr:rowOff>159202</xdr:rowOff>
    </xdr:from>
    <xdr:to>
      <xdr:col>7</xdr:col>
      <xdr:colOff>729556</xdr:colOff>
      <xdr:row>73</xdr:row>
      <xdr:rowOff>104091</xdr:rowOff>
    </xdr:to>
    <xdr:graphicFrame macro="">
      <xdr:nvGraphicFramePr>
        <xdr:cNvPr id="6" name="Gráfico 5">
          <a:extLst>
            <a:ext uri="{FF2B5EF4-FFF2-40B4-BE49-F238E27FC236}">
              <a16:creationId xmlns:a16="http://schemas.microsoft.com/office/drawing/2014/main" id="{A787F0F9-DD58-4E31-B8F9-DF11181BB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713261</xdr:colOff>
      <xdr:row>57</xdr:row>
      <xdr:rowOff>125276</xdr:rowOff>
    </xdr:from>
    <xdr:to>
      <xdr:col>16</xdr:col>
      <xdr:colOff>455039</xdr:colOff>
      <xdr:row>73</xdr:row>
      <xdr:rowOff>70165</xdr:rowOff>
    </xdr:to>
    <xdr:graphicFrame macro="">
      <xdr:nvGraphicFramePr>
        <xdr:cNvPr id="7" name="Gráfico 6">
          <a:extLst>
            <a:ext uri="{FF2B5EF4-FFF2-40B4-BE49-F238E27FC236}">
              <a16:creationId xmlns:a16="http://schemas.microsoft.com/office/drawing/2014/main" id="{941F8EBA-4C85-4861-953B-86BEEF495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161926</xdr:colOff>
      <xdr:row>77</xdr:row>
      <xdr:rowOff>151699</xdr:rowOff>
    </xdr:from>
    <xdr:to>
      <xdr:col>7</xdr:col>
      <xdr:colOff>700982</xdr:colOff>
      <xdr:row>93</xdr:row>
      <xdr:rowOff>96588</xdr:rowOff>
    </xdr:to>
    <xdr:graphicFrame macro="">
      <xdr:nvGraphicFramePr>
        <xdr:cNvPr id="8" name="Gráfico 7">
          <a:extLst>
            <a:ext uri="{FF2B5EF4-FFF2-40B4-BE49-F238E27FC236}">
              <a16:creationId xmlns:a16="http://schemas.microsoft.com/office/drawing/2014/main" id="{1E179023-95BC-4D51-BD8B-7BCDA1A34FCC}"/>
            </a:ext>
            <a:ext uri="{147F2762-F138-4A5C-976F-8EAC2B608ADB}">
              <a16:predDERef xmlns:a16="http://schemas.microsoft.com/office/drawing/2014/main" pred="{941F8EBA-4C85-4861-953B-86BEEF495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775229</xdr:colOff>
      <xdr:row>20</xdr:row>
      <xdr:rowOff>39687</xdr:rowOff>
    </xdr:from>
    <xdr:to>
      <xdr:col>16</xdr:col>
      <xdr:colOff>512597</xdr:colOff>
      <xdr:row>35</xdr:row>
      <xdr:rowOff>167139</xdr:rowOff>
    </xdr:to>
    <xdr:graphicFrame macro="">
      <xdr:nvGraphicFramePr>
        <xdr:cNvPr id="9" name="Gráfico 8">
          <a:extLst>
            <a:ext uri="{FF2B5EF4-FFF2-40B4-BE49-F238E27FC236}">
              <a16:creationId xmlns:a16="http://schemas.microsoft.com/office/drawing/2014/main" id="{4CADE466-D96C-4864-ACE6-CE6E5BF48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130630</xdr:colOff>
      <xdr:row>38</xdr:row>
      <xdr:rowOff>174575</xdr:rowOff>
    </xdr:from>
    <xdr:to>
      <xdr:col>7</xdr:col>
      <xdr:colOff>705972</xdr:colOff>
      <xdr:row>54</xdr:row>
      <xdr:rowOff>121480</xdr:rowOff>
    </xdr:to>
    <xdr:graphicFrame macro="">
      <xdr:nvGraphicFramePr>
        <xdr:cNvPr id="10" name="Gráfico 9">
          <a:extLst>
            <a:ext uri="{FF2B5EF4-FFF2-40B4-BE49-F238E27FC236}">
              <a16:creationId xmlns:a16="http://schemas.microsoft.com/office/drawing/2014/main" id="{FB75F9E4-60DB-4616-803C-8A8DF291068A}"/>
            </a:ext>
            <a:ext uri="{147F2762-F138-4A5C-976F-8EAC2B608ADB}">
              <a16:predDERef xmlns:a16="http://schemas.microsoft.com/office/drawing/2014/main" pred="{4CADE466-D96C-4864-ACE6-CE6E5BF48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0.00888</cdr:x>
      <cdr:y>0.92204</cdr:y>
    </cdr:from>
    <cdr:to>
      <cdr:x>0.7077</cdr:x>
      <cdr:y>1</cdr:y>
    </cdr:to>
    <cdr:sp macro="" textlink="">
      <cdr:nvSpPr>
        <cdr:cNvPr id="2" name="CuadroTexto 1">
          <a:extLst xmlns:a="http://schemas.openxmlformats.org/drawingml/2006/main">
            <a:ext uri="{FF2B5EF4-FFF2-40B4-BE49-F238E27FC236}">
              <a16:creationId xmlns:a16="http://schemas.microsoft.com/office/drawing/2014/main" id="{991C727D-E882-688F-6CD9-0E6ACAAFEC26}"/>
            </a:ext>
          </a:extLst>
        </cdr:cNvPr>
        <cdr:cNvSpPr txBox="1"/>
      </cdr:nvSpPr>
      <cdr:spPr>
        <a:xfrm xmlns:a="http://schemas.openxmlformats.org/drawingml/2006/main">
          <a:off x="54429" y="2625726"/>
          <a:ext cx="4281714" cy="222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Fuente:Subdirección General de Estadística. Ayuntamiento de Madrid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349251</xdr:colOff>
      <xdr:row>2</xdr:row>
      <xdr:rowOff>0</xdr:rowOff>
    </xdr:from>
    <xdr:to>
      <xdr:col>8</xdr:col>
      <xdr:colOff>66334</xdr:colOff>
      <xdr:row>17</xdr:row>
      <xdr:rowOff>101875</xdr:rowOff>
    </xdr:to>
    <xdr:graphicFrame macro="">
      <xdr:nvGraphicFramePr>
        <xdr:cNvPr id="2" name="Gráfico 1">
          <a:extLst>
            <a:ext uri="{FF2B5EF4-FFF2-40B4-BE49-F238E27FC236}">
              <a16:creationId xmlns:a16="http://schemas.microsoft.com/office/drawing/2014/main" id="{EFEBA204-7802-4F6F-A6F9-D773AF2B6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746125</xdr:colOff>
      <xdr:row>1</xdr:row>
      <xdr:rowOff>156105</xdr:rowOff>
    </xdr:from>
    <xdr:to>
      <xdr:col>16</xdr:col>
      <xdr:colOff>500250</xdr:colOff>
      <xdr:row>17</xdr:row>
      <xdr:rowOff>142875</xdr:rowOff>
    </xdr:to>
    <xdr:graphicFrame macro="">
      <xdr:nvGraphicFramePr>
        <xdr:cNvPr id="3" name="Gráfico 2">
          <a:extLst>
            <a:ext uri="{FF2B5EF4-FFF2-40B4-BE49-F238E27FC236}">
              <a16:creationId xmlns:a16="http://schemas.microsoft.com/office/drawing/2014/main" id="{F2C260CD-1802-487C-869F-90B1C6E08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304269</xdr:colOff>
      <xdr:row>20</xdr:row>
      <xdr:rowOff>21696</xdr:rowOff>
    </xdr:from>
    <xdr:to>
      <xdr:col>8</xdr:col>
      <xdr:colOff>21352</xdr:colOff>
      <xdr:row>35</xdr:row>
      <xdr:rowOff>123571</xdr:rowOff>
    </xdr:to>
    <xdr:graphicFrame macro="">
      <xdr:nvGraphicFramePr>
        <xdr:cNvPr id="4" name="Gráfico 3">
          <a:extLst>
            <a:ext uri="{FF2B5EF4-FFF2-40B4-BE49-F238E27FC236}">
              <a16:creationId xmlns:a16="http://schemas.microsoft.com/office/drawing/2014/main" id="{86F1F967-E532-451F-AD92-5B70DD5E6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10582</xdr:colOff>
      <xdr:row>20</xdr:row>
      <xdr:rowOff>58736</xdr:rowOff>
    </xdr:from>
    <xdr:to>
      <xdr:col>16</xdr:col>
      <xdr:colOff>528030</xdr:colOff>
      <xdr:row>35</xdr:row>
      <xdr:rowOff>160611</xdr:rowOff>
    </xdr:to>
    <xdr:graphicFrame macro="">
      <xdr:nvGraphicFramePr>
        <xdr:cNvPr id="5" name="Gráfico 4">
          <a:extLst>
            <a:ext uri="{FF2B5EF4-FFF2-40B4-BE49-F238E27FC236}">
              <a16:creationId xmlns:a16="http://schemas.microsoft.com/office/drawing/2014/main" id="{B7166631-3202-48A0-BF8D-EE58C89DB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359833</xdr:colOff>
      <xdr:row>38</xdr:row>
      <xdr:rowOff>95250</xdr:rowOff>
    </xdr:from>
    <xdr:to>
      <xdr:col>8</xdr:col>
      <xdr:colOff>76916</xdr:colOff>
      <xdr:row>54</xdr:row>
      <xdr:rowOff>11917</xdr:rowOff>
    </xdr:to>
    <xdr:graphicFrame macro="">
      <xdr:nvGraphicFramePr>
        <xdr:cNvPr id="6" name="Gráfico 5">
          <a:extLst>
            <a:ext uri="{FF2B5EF4-FFF2-40B4-BE49-F238E27FC236}">
              <a16:creationId xmlns:a16="http://schemas.microsoft.com/office/drawing/2014/main" id="{A6771337-305D-4C37-AE38-F62E11C7D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38</xdr:row>
      <xdr:rowOff>101070</xdr:rowOff>
    </xdr:from>
    <xdr:to>
      <xdr:col>16</xdr:col>
      <xdr:colOff>517448</xdr:colOff>
      <xdr:row>54</xdr:row>
      <xdr:rowOff>20382</xdr:rowOff>
    </xdr:to>
    <xdr:graphicFrame macro="">
      <xdr:nvGraphicFramePr>
        <xdr:cNvPr id="7" name="Gráfico 6">
          <a:extLst>
            <a:ext uri="{FF2B5EF4-FFF2-40B4-BE49-F238E27FC236}">
              <a16:creationId xmlns:a16="http://schemas.microsoft.com/office/drawing/2014/main" id="{858FB804-0E11-4E99-9FA0-DC14A688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338667</xdr:colOff>
      <xdr:row>56</xdr:row>
      <xdr:rowOff>67470</xdr:rowOff>
    </xdr:from>
    <xdr:to>
      <xdr:col>8</xdr:col>
      <xdr:colOff>55750</xdr:colOff>
      <xdr:row>71</xdr:row>
      <xdr:rowOff>169345</xdr:rowOff>
    </xdr:to>
    <xdr:graphicFrame macro="">
      <xdr:nvGraphicFramePr>
        <xdr:cNvPr id="8" name="Gráfico 7">
          <a:extLst>
            <a:ext uri="{FF2B5EF4-FFF2-40B4-BE49-F238E27FC236}">
              <a16:creationId xmlns:a16="http://schemas.microsoft.com/office/drawing/2014/main" id="{5182DE73-F388-4651-B6AB-7FA34F5B1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338908</xdr:colOff>
      <xdr:row>91</xdr:row>
      <xdr:rowOff>67889</xdr:rowOff>
    </xdr:from>
    <xdr:to>
      <xdr:col>8</xdr:col>
      <xdr:colOff>55991</xdr:colOff>
      <xdr:row>106</xdr:row>
      <xdr:rowOff>169764</xdr:rowOff>
    </xdr:to>
    <xdr:graphicFrame macro="">
      <xdr:nvGraphicFramePr>
        <xdr:cNvPr id="9" name="Gráfico 8">
          <a:extLst>
            <a:ext uri="{FF2B5EF4-FFF2-40B4-BE49-F238E27FC236}">
              <a16:creationId xmlns:a16="http://schemas.microsoft.com/office/drawing/2014/main" id="{832A7402-75B3-4CC2-8C0D-C5FEE9B80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306916</xdr:colOff>
      <xdr:row>108</xdr:row>
      <xdr:rowOff>102658</xdr:rowOff>
    </xdr:from>
    <xdr:to>
      <xdr:col>8</xdr:col>
      <xdr:colOff>28222</xdr:colOff>
      <xdr:row>124</xdr:row>
      <xdr:rowOff>19325</xdr:rowOff>
    </xdr:to>
    <xdr:graphicFrame macro="">
      <xdr:nvGraphicFramePr>
        <xdr:cNvPr id="10" name="Gráfico 9">
          <a:extLst>
            <a:ext uri="{FF2B5EF4-FFF2-40B4-BE49-F238E27FC236}">
              <a16:creationId xmlns:a16="http://schemas.microsoft.com/office/drawing/2014/main" id="{F8E80BF4-E211-44C4-8FD3-91EAF9D9F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254528</xdr:colOff>
      <xdr:row>108</xdr:row>
      <xdr:rowOff>92602</xdr:rowOff>
    </xdr:from>
    <xdr:to>
      <xdr:col>15</xdr:col>
      <xdr:colOff>771976</xdr:colOff>
      <xdr:row>124</xdr:row>
      <xdr:rowOff>9269</xdr:rowOff>
    </xdr:to>
    <xdr:graphicFrame macro="">
      <xdr:nvGraphicFramePr>
        <xdr:cNvPr id="11" name="Gráfico 10">
          <a:extLst>
            <a:ext uri="{FF2B5EF4-FFF2-40B4-BE49-F238E27FC236}">
              <a16:creationId xmlns:a16="http://schemas.microsoft.com/office/drawing/2014/main" id="{4827C17B-5A95-49DA-A971-A56EB690B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317501</xdr:colOff>
      <xdr:row>125</xdr:row>
      <xdr:rowOff>161393</xdr:rowOff>
    </xdr:from>
    <xdr:to>
      <xdr:col>8</xdr:col>
      <xdr:colOff>34584</xdr:colOff>
      <xdr:row>141</xdr:row>
      <xdr:rowOff>78060</xdr:rowOff>
    </xdr:to>
    <xdr:graphicFrame macro="">
      <xdr:nvGraphicFramePr>
        <xdr:cNvPr id="13" name="Gráfico 12">
          <a:extLst>
            <a:ext uri="{FF2B5EF4-FFF2-40B4-BE49-F238E27FC236}">
              <a16:creationId xmlns:a16="http://schemas.microsoft.com/office/drawing/2014/main" id="{EAE7777A-8368-4CE4-83BB-ED79D8B32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341311</xdr:colOff>
      <xdr:row>73</xdr:row>
      <xdr:rowOff>99220</xdr:rowOff>
    </xdr:from>
    <xdr:to>
      <xdr:col>8</xdr:col>
      <xdr:colOff>57072</xdr:colOff>
      <xdr:row>89</xdr:row>
      <xdr:rowOff>18532</xdr:rowOff>
    </xdr:to>
    <xdr:graphicFrame macro="">
      <xdr:nvGraphicFramePr>
        <xdr:cNvPr id="12" name="Gráfico 11">
          <a:extLst>
            <a:ext uri="{FF2B5EF4-FFF2-40B4-BE49-F238E27FC236}">
              <a16:creationId xmlns:a16="http://schemas.microsoft.com/office/drawing/2014/main" id="{FCE863FF-6440-4D1E-9526-08CA5A12D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235480</xdr:colOff>
      <xdr:row>73</xdr:row>
      <xdr:rowOff>97897</xdr:rowOff>
    </xdr:from>
    <xdr:to>
      <xdr:col>15</xdr:col>
      <xdr:colOff>754250</xdr:colOff>
      <xdr:row>89</xdr:row>
      <xdr:rowOff>17209</xdr:rowOff>
    </xdr:to>
    <xdr:graphicFrame macro="">
      <xdr:nvGraphicFramePr>
        <xdr:cNvPr id="14" name="Gráfico 13">
          <a:extLst>
            <a:ext uri="{FF2B5EF4-FFF2-40B4-BE49-F238E27FC236}">
              <a16:creationId xmlns:a16="http://schemas.microsoft.com/office/drawing/2014/main" id="{4DDF6C48-15B2-4096-A552-851FF19B0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232833</xdr:colOff>
      <xdr:row>91</xdr:row>
      <xdr:rowOff>76729</xdr:rowOff>
    </xdr:from>
    <xdr:to>
      <xdr:col>15</xdr:col>
      <xdr:colOff>750281</xdr:colOff>
      <xdr:row>106</xdr:row>
      <xdr:rowOff>178604</xdr:rowOff>
    </xdr:to>
    <xdr:graphicFrame macro="">
      <xdr:nvGraphicFramePr>
        <xdr:cNvPr id="15" name="Gráfico 14">
          <a:extLst>
            <a:ext uri="{FF2B5EF4-FFF2-40B4-BE49-F238E27FC236}">
              <a16:creationId xmlns:a16="http://schemas.microsoft.com/office/drawing/2014/main" id="{97A338B8-2243-4285-AC7E-8B7F15F5C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785812</xdr:colOff>
      <xdr:row>16</xdr:row>
      <xdr:rowOff>47624</xdr:rowOff>
    </xdr:from>
    <xdr:to>
      <xdr:col>13</xdr:col>
      <xdr:colOff>381000</xdr:colOff>
      <xdr:row>18</xdr:row>
      <xdr:rowOff>-1</xdr:rowOff>
    </xdr:to>
    <xdr:sp macro="" textlink="">
      <xdr:nvSpPr>
        <xdr:cNvPr id="16" name="CuadroTexto 15">
          <a:extLst>
            <a:ext uri="{FF2B5EF4-FFF2-40B4-BE49-F238E27FC236}">
              <a16:creationId xmlns:a16="http://schemas.microsoft.com/office/drawing/2014/main" id="{5BCDF513-5060-6076-FA6A-13DA959A4B37}"/>
            </a:ext>
          </a:extLst>
        </xdr:cNvPr>
        <xdr:cNvSpPr txBox="1"/>
      </xdr:nvSpPr>
      <xdr:spPr>
        <a:xfrm>
          <a:off x="7199312" y="3198812"/>
          <a:ext cx="3603626"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t>Fuente:</a:t>
          </a:r>
          <a:r>
            <a:rPr lang="es-ES" sz="800" baseline="0"/>
            <a:t> </a:t>
          </a:r>
          <a:r>
            <a:rPr lang="es-ES" sz="800"/>
            <a:t>Estadística del Ayuntamiento de Madrid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cdr:x>
      <cdr:y>0.88822</cdr:y>
    </cdr:from>
    <cdr:to>
      <cdr:x>0.58794</cdr:x>
      <cdr:y>1</cdr:y>
    </cdr:to>
    <cdr:sp macro="" textlink="">
      <cdr:nvSpPr>
        <cdr:cNvPr id="2" name="CuadroTexto 15">
          <a:extLst xmlns:a="http://schemas.openxmlformats.org/drawingml/2006/main">
            <a:ext uri="{FF2B5EF4-FFF2-40B4-BE49-F238E27FC236}">
              <a16:creationId xmlns:a16="http://schemas.microsoft.com/office/drawing/2014/main" id="{5BCDF513-5060-6076-FA6A-13DA959A4B37}"/>
            </a:ext>
          </a:extLst>
        </cdr:cNvPr>
        <cdr:cNvSpPr txBox="1"/>
      </cdr:nvSpPr>
      <cdr:spPr>
        <a:xfrm xmlns:a="http://schemas.openxmlformats.org/drawingml/2006/main">
          <a:off x="0" y="2522813"/>
          <a:ext cx="3603626" cy="3175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ES" sz="800"/>
        </a:p>
        <a:p xmlns:a="http://schemas.openxmlformats.org/drawingml/2006/main">
          <a:r>
            <a:rPr lang="es-ES" sz="800"/>
            <a:t>Fuente:</a:t>
          </a:r>
          <a:r>
            <a:rPr lang="es-ES" sz="800" baseline="0"/>
            <a:t> </a:t>
          </a:r>
          <a:r>
            <a:rPr lang="es-ES" sz="800"/>
            <a:t>Estadística del Ayuntamiento de Madrid  </a:t>
          </a:r>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adrid.es/portales/munimadrid/es/Inicio/El-Ayuntamiento/Estadistica/Areas-de-informacion-estadistica/Mercado-de-trabajo/Encuesta-de-Poblacion-Activa-EPA-/Indicadores-de-la-Poblacion-de-16-a-64-anos/?vgnextfmt=default&amp;vgnextoid=a1d06e0754c0c210VgnVCM2000000c205a0aRCRD&amp;vgnextchannel=560d62a006986210VgnVCM2000000c205a0aRCRD" TargetMode="External"/><Relationship Id="rId3" Type="http://schemas.openxmlformats.org/officeDocument/2006/relationships/hyperlink" Target="https://servpub.madrid.es/CSEBD_WBINTER/seleccionSerie.html?numSerie=0904030200010" TargetMode="External"/><Relationship Id="rId7" Type="http://schemas.openxmlformats.org/officeDocument/2006/relationships/hyperlink" Target="https://servpub.madrid.es/CSEBD_WBINTER/seleccionSerie.html?numSerie=0901020200011" TargetMode="External"/><Relationship Id="rId2" Type="http://schemas.openxmlformats.org/officeDocument/2006/relationships/hyperlink" Target="https://www.madrid.es/portales/munimadrid/es/Inicio/El-Ayuntamiento/Estadistica/Areas-de-informacion-estadistica/Mercado-de-trabajo/Encuesta-de-Poblacion-Activa-EPA-/Media-Anual/?vgnextfmt=default&amp;vgnextoid=bc61bc926ef30310VgnVCM2000000c205a0aRCRD&amp;vgnextchannel=560d62a006986210VgnVCM2000000c205a0aRCRD" TargetMode="External"/><Relationship Id="rId1" Type="http://schemas.openxmlformats.org/officeDocument/2006/relationships/hyperlink" Target="https://ine.es/Censo2021/Inicio.do" TargetMode="External"/><Relationship Id="rId6" Type="http://schemas.openxmlformats.org/officeDocument/2006/relationships/hyperlink" Target="https://www.madrid.es/portales/munimadrid/es/Inicio/El-Ayuntamiento/Estadistica/Areas-de-informacion-estadistica/Mercado-de-trabajo/Encuesta-de-Poblacion-Activa-EPA-/Indicadores-de-la-Poblacion-de-16-a-64-anos/?vgnextfmt=default&amp;vgnextoid=a1d06e0754c0c210VgnVCM2000000c205a0aRCRD&amp;vgnextchannel=560d62a006986210VgnVCM2000000c205a0aRCRD" TargetMode="External"/><Relationship Id="rId11" Type="http://schemas.openxmlformats.org/officeDocument/2006/relationships/printerSettings" Target="../printerSettings/printerSettings8.bin"/><Relationship Id="rId5" Type="http://schemas.openxmlformats.org/officeDocument/2006/relationships/hyperlink" Target="https://www.seg-social.es/wps/portal/wss/internet/EstadisticasPresupuestosEstudios/Estadisticas/EST8/EST10/EST305/c43ad8ea-fe79-4329-ac8e-e5758f3c4d7a/f83fe4aa-2dee-49c5-8317-98d105813796" TargetMode="External"/><Relationship Id="rId10" Type="http://schemas.openxmlformats.org/officeDocument/2006/relationships/hyperlink" Target="https://www.madrid.es/portales/munimadrid/es/Inicio/El-Ayuntamiento/Estadistica/Areas-de-informacion-estadistica/Mercado-de-trabajo/Encuesta-de-Poblacion-Activa-EPA-/Media-Anual/?vgnextfmt=default&amp;vgnextoid=bc61bc926ef30310VgnVCM2000000c205a0aRCRD&amp;vgnextchannel=560d62a006986210VgnVCM2000000c205a0aRCRD" TargetMode="External"/><Relationship Id="rId4" Type="http://schemas.openxmlformats.org/officeDocument/2006/relationships/hyperlink" Target="https://datos.madrid.es/portal/site/egob/menuitem.c05c1f754a33a9fbe4b2e4b284f1a5a0/?vgnextoid=710e760a581a7610VgnVCM1000001d4a900aRCRD&amp;vgnextchannel=374512b9ace9f310VgnVCM100000171f5a0aRCRD&amp;vgnextfmt=default" TargetMode="External"/><Relationship Id="rId9" Type="http://schemas.openxmlformats.org/officeDocument/2006/relationships/hyperlink" Target="https://www.madrid.es/portales/munimadrid/es/Inicio/El-Ayuntamiento/Estadistica/Areas-de-informacion-estadistica/Mercado-de-trabajo/Encuesta-de-Poblacion-Activa-EPA-/Indicadores-de-la-Poblacion-de-16-a-64-anos/?vgnextfmt=default&amp;vgnextoid=a1d06e0754c0c210VgnVCM2000000c205a0aRCRD&amp;vgnextchannel=560d62a006986210VgnVCM2000000c205a0aRCR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8" Type="http://schemas.openxmlformats.org/officeDocument/2006/relationships/hyperlink" Target="https://datos.madrid.es/portal/site/egob/menuitem.c05c1f754a33a9fbe4b2e4b284f1a5a0/?vgnextoid=8c936c7fe412b610VgnVCM2000001f4a900aRCRD&amp;vgnextchannel=374512b9ace9f310VgnVCM100000171f5a0aRCRD&amp;vgnextfmt=default" TargetMode="External"/><Relationship Id="rId13" Type="http://schemas.openxmlformats.org/officeDocument/2006/relationships/hyperlink" Target="https://servpub.madrid.es/CSEBD_WBINTER/seleccionSerie.html?numSerie=0103030300010" TargetMode="External"/><Relationship Id="rId3" Type="http://schemas.openxmlformats.org/officeDocument/2006/relationships/hyperlink" Target="https://servpub.madrid.es/CSEBD_WBINTER/seleccionSerie.html?numSerie=0103030400150" TargetMode="External"/><Relationship Id="rId7" Type="http://schemas.openxmlformats.org/officeDocument/2006/relationships/hyperlink" Target="https://servpub.madrid.es/CSEBD_WBINTER/seleccionSerie.html?numSerie=0103030400012" TargetMode="External"/><Relationship Id="rId12" Type="http://schemas.openxmlformats.org/officeDocument/2006/relationships/hyperlink" Target="https://servpub.madrid.es/CSEBD_WBINTER/seleccionSerie.html?numSerie=0103030400011" TargetMode="External"/><Relationship Id="rId2" Type="http://schemas.openxmlformats.org/officeDocument/2006/relationships/hyperlink" Target="https://servpub.madrid.es/CSEBD_WBINTER/seleccionSerie.html?numSerie=0103030602020" TargetMode="External"/><Relationship Id="rId16" Type="http://schemas.openxmlformats.org/officeDocument/2006/relationships/hyperlink" Target="https://servpub.madrid.es/CSEBD_WBINTER/seleccionSerie.html?numSerie=0403020300020" TargetMode="External"/><Relationship Id="rId1" Type="http://schemas.openxmlformats.org/officeDocument/2006/relationships/hyperlink" Target="https://www.madrid.es/UnidadesDescentralizadas/UDCEstadistica/Nuevaweb/Mujeres%20y%20Hombres%20en%20la%20Ciudad%20de%20Madrid/%C3%8Dndice%20de%20Desigualdad%20de%20G%C3%A9nero/INDESGEN%20Madrid%202022.pdf" TargetMode="External"/><Relationship Id="rId6" Type="http://schemas.openxmlformats.org/officeDocument/2006/relationships/hyperlink" Target="https://servpub.madrid.es/CSEBD_WBINTER/seleccionSerie.html?numSerie=0103030500010" TargetMode="External"/><Relationship Id="rId11" Type="http://schemas.openxmlformats.org/officeDocument/2006/relationships/hyperlink" Target="https://servpub.madrid.es/CSEBD_WBINTER/seleccionSerie.html?numSerie=0103030400012" TargetMode="External"/><Relationship Id="rId5" Type="http://schemas.openxmlformats.org/officeDocument/2006/relationships/hyperlink" Target="https://www.seg-social.es/wps/portal/wss/internet/EstadisticasPresupuestosEstudios/Estadisticas/cbe2fda1-3ac7-4bc8-a5ec-06c178839e11" TargetMode="External"/><Relationship Id="rId15" Type="http://schemas.openxmlformats.org/officeDocument/2006/relationships/hyperlink" Target="https://servpub.madrid.es/CSEBD_WBINTER/seleccionSerie.html?numSerie=0403020200090" TargetMode="External"/><Relationship Id="rId10" Type="http://schemas.openxmlformats.org/officeDocument/2006/relationships/hyperlink" Target="https://servpub.madrid.es/CSEBD_WBINTER/seleccionSerie.html?numSerie=0103030400011" TargetMode="External"/><Relationship Id="rId4" Type="http://schemas.openxmlformats.org/officeDocument/2006/relationships/hyperlink" Target="https://servpub.madrid.es/CSEBD_WBINTER/seleccionSerie.html?numSerie=0103030300050" TargetMode="External"/><Relationship Id="rId9" Type="http://schemas.openxmlformats.org/officeDocument/2006/relationships/hyperlink" Target="https://servpub.madrid.es/CSEBD_WBINTER/seleccionSerie.html?numSerie=0904030200070" TargetMode="External"/><Relationship Id="rId14" Type="http://schemas.openxmlformats.org/officeDocument/2006/relationships/hyperlink" Target="https://servpub.madrid.es/CSEBD_WBINTER/detalleSerie.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3" Type="http://schemas.openxmlformats.org/officeDocument/2006/relationships/hyperlink" Target="https://madridsalud.es/estudios-de-salud/" TargetMode="External"/><Relationship Id="rId7" Type="http://schemas.openxmlformats.org/officeDocument/2006/relationships/printerSettings" Target="../printerSettings/printerSettings11.bin"/><Relationship Id="rId2" Type="http://schemas.openxmlformats.org/officeDocument/2006/relationships/hyperlink" Target="https://madridsalud.es/estudios-de-salud/" TargetMode="External"/><Relationship Id="rId1" Type="http://schemas.openxmlformats.org/officeDocument/2006/relationships/hyperlink" Target="https://madridsalud.es/estudios-de-salud/" TargetMode="External"/><Relationship Id="rId6" Type="http://schemas.openxmlformats.org/officeDocument/2006/relationships/hyperlink" Target="https://servpub.madrid.es/CSEBD_WBINTER/seleccionSerie.html?numSerie=1208000000060" TargetMode="External"/><Relationship Id="rId5" Type="http://schemas.openxmlformats.org/officeDocument/2006/relationships/hyperlink" Target="https://servpub.madrid.es/CSEBD_WBINTER/seleccionSerie.html?numSerie=0310000000010" TargetMode="External"/><Relationship Id="rId4" Type="http://schemas.openxmlformats.org/officeDocument/2006/relationships/hyperlink" Target="https://madridsalud.es/estudios-de-salu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3" Type="http://schemas.openxmlformats.org/officeDocument/2006/relationships/hyperlink" Target="https://servpub.madrid.es/CSEBD_WBINTER/seleccionSerie.html?numSerie=0302010200220" TargetMode="External"/><Relationship Id="rId7" Type="http://schemas.openxmlformats.org/officeDocument/2006/relationships/hyperlink" Target="https://www.madrid.es/portales/munimadrid/es/Inicio/El-Ayuntamiento/Estadistica/Areas-de-informacion-estadistica/Mercado-de-trabajo/Encuesta-de-Poblacion-Activa-EPA-/Media-Anual/?vgnextfmt=default&amp;vgnextoid=bc61bc926ef30310VgnVCM2000000c205a0aRCRD&amp;vgnextchannel=560d62a006986210VgnVCM2000000c205a0aRCRD" TargetMode="External"/><Relationship Id="rId2" Type="http://schemas.openxmlformats.org/officeDocument/2006/relationships/hyperlink" Target="https://www.inmujeres.gob.es/MujerCifras/Conciliacion/ExcedPermisos.htm" TargetMode="External"/><Relationship Id="rId1" Type="http://schemas.openxmlformats.org/officeDocument/2006/relationships/hyperlink" Target="https://estadisticas.educa.madrid.org/Report/ReportTemplate?ReportName=02_Alumnos_MatricEnsenanzasSexo&amp;ReportDescription=Alumnos%20matriculados%20en%20Ense%C3%B1anzas%20de%20R%C3%A9gimen%20General%20por%20sexo&amp;Width=100&amp;Height=650" TargetMode="External"/><Relationship Id="rId6" Type="http://schemas.openxmlformats.org/officeDocument/2006/relationships/hyperlink" Target="https://www.madrid.es/portales/munimadrid/es/Inicio/El-Ayuntamiento/Estadistica/Areas-de-informacion-estadistica/Mercado-de-trabajo/Encuesta-de-Poblacion-Activa-EPA-/Media-Anual/?vgnextfmt=default&amp;vgnextoid=bc61bc926ef30310VgnVCM2000000c205a0aRCRD&amp;vgnextchannel=560d62a006986210VgnVCM2000000c205a0aRCRD" TargetMode="External"/><Relationship Id="rId5" Type="http://schemas.openxmlformats.org/officeDocument/2006/relationships/hyperlink" Target="https://www.madrid.es/portales/munimadrid/es/Inicio/El-Ayuntamiento/Estadistica/Areas-de-informacion-estadistica/Demografia-y-poblacion/Cifras-de-poblacion/Encuesta-de-caracteristicas-esenciales-de-la-poblacion-y-viviendas-ECEPOV-/?vgnextfmt=default&amp;vgnextoid=bda3b944c9a08810VgnVCM1000001d4a900aRCRD&amp;vgnextchannel=a4eba53620e1a210VgnVCM1000000b205a0aRCRD" TargetMode="External"/><Relationship Id="rId4" Type="http://schemas.openxmlformats.org/officeDocument/2006/relationships/hyperlink" Target="https://www.inmujeres.gob.es/MujerCifras/Conciliacion/ExcedPermiso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8" Type="http://schemas.openxmlformats.org/officeDocument/2006/relationships/hyperlink" Target="https://datos.madrid.es/portal/site/egob/menuitem.c05c1f754a33a9fbe4b2e4b284f1a5a0/?vgnextoid=d33a064b5ec1a510VgnVCM1000001d4a900aRCRD&amp;vgnextchannel=374512b9ace9f310VgnVCM100000171f5a0aRCRD&amp;vgnextfmt=default" TargetMode="External"/><Relationship Id="rId13" Type="http://schemas.openxmlformats.org/officeDocument/2006/relationships/hyperlink" Target="https://servpub.madrid.es/CSEBD_WBINTER/seleccionSerie.html?numSerie=0203020000030" TargetMode="External"/><Relationship Id="rId3" Type="http://schemas.openxmlformats.org/officeDocument/2006/relationships/hyperlink" Target="https://estadisticas.universidades.gob.es/jaxiPx/Tabla.htm?path=/Universitaria/Personal//EPU21//PI//l0/&amp;file=PI0201.px&amp;type=pcaxis&amp;L=0" TargetMode="External"/><Relationship Id="rId7" Type="http://schemas.openxmlformats.org/officeDocument/2006/relationships/hyperlink" Target="https://datos.madrid.es/portal/site/egob/menuitem.c05c1f754a33a9fbe4b2e4b284f1a5a0/?vgnextoid=6809077f3f4a4510VgnVCM1000001d4a900aRCRD&amp;vgnextchannel=374512b9ace9f310VgnVCM100000171f5a0aRCRD&amp;vgnextfmt=default" TargetMode="External"/><Relationship Id="rId12" Type="http://schemas.openxmlformats.org/officeDocument/2006/relationships/hyperlink" Target="https://servpub.madrid.es/CSEBD_WBINTER/seleccionSerie.html?numSerie=0901020200012" TargetMode="External"/><Relationship Id="rId2" Type="http://schemas.openxmlformats.org/officeDocument/2006/relationships/hyperlink" Target="https://www.ine.es/dynt3/inebase/es/index.htm?padre=10048&amp;capsel=10056" TargetMode="External"/><Relationship Id="rId1" Type="http://schemas.openxmlformats.org/officeDocument/2006/relationships/hyperlink" Target="https://estadisticas.educacion.gob.es/EducaJaxiPx/Tabla.htm?path=/Universitaria/Alumnado/EEU_2022/GradoCiclo/Matriculados/l0/&amp;file=2_5_Mat_GradCiclo_Sex_Nac_Amb_CA.px&amp;L=0" TargetMode="External"/><Relationship Id="rId6" Type="http://schemas.openxmlformats.org/officeDocument/2006/relationships/hyperlink" Target="https://datos.madrid.es/portal/site/egob/menuitem.c05c1f754a33a9fbe4b2e4b284f1a5a0/?vgnextoid=3357843eb96f5610VgnVCM2000001f4a900aRCRD&amp;vgnextchannel=374512b9ace9f310VgnVCM100000171f5a0aRCRD&amp;vgnextfmt=default" TargetMode="External"/><Relationship Id="rId11" Type="http://schemas.openxmlformats.org/officeDocument/2006/relationships/hyperlink" Target="https://estadisticas.educa.madrid.org/Report/ReportTemplate?ReportName=13_Alumnos_MatricFPGSuperiorFamiliaSexo&amp;ReportDescription=Alumnos%20matriculados%20en%20Formaci%C3%B3n%20Profesional%20de%20Grado%20Superior%20por%20familias%20profesionales%20y%20sexo&amp;Width=100&amp;Height=650" TargetMode="External"/><Relationship Id="rId5" Type="http://schemas.openxmlformats.org/officeDocument/2006/relationships/hyperlink" Target="https://datos.madrid.es/portal/site/egob/menuitem.c05c1f754a33a9fbe4b2e4b284f1a5a0/?vgnextoid=7b995e4a111c7610VgnVCM1000001d4a900aRCRD&amp;vgnextchannel=374512b9ace9f310VgnVCM100000171f5a0aRCRD&amp;vgnextfmt=default" TargetMode="External"/><Relationship Id="rId10" Type="http://schemas.openxmlformats.org/officeDocument/2006/relationships/hyperlink" Target="https://estadisticas.educa.madrid.org/Report/ReportTemplate?ReportName=11_Alumnos_MatricFPGMedioFamiliaSexo&amp;ReportDescription=Alumnos%20matriculados%20en%20Formaci%C3%B3n%20Profesional%20de%20Grado%20Medio%20por%20familias%20profesionales%20y%20sexo&amp;Width=100&amp;Height=650" TargetMode="External"/><Relationship Id="rId4" Type="http://schemas.openxmlformats.org/officeDocument/2006/relationships/hyperlink" Target="https://servpub.madrid.es/CSEBD_WBINTER/seleccionSerie.html?numSerie=0901020200011" TargetMode="External"/><Relationship Id="rId9" Type="http://schemas.openxmlformats.org/officeDocument/2006/relationships/hyperlink" Target="https://estadisticas.educa.madrid.org/Report/ReportTemplate?ReportName=05_Alumnos_MatricBachilleratoModalidadSexo&amp;ReportDescription=Alumnos%20matriculados%20en%20Bachillerato%20por%20modalidad%20y%20sexo&amp;Width=100&amp;Height=650" TargetMode="External"/><Relationship Id="rId14" Type="http://schemas.openxmlformats.org/officeDocument/2006/relationships/hyperlink" Target="https://www.educacionfpydeportes.gob.es/mc/igualdad/igualdad-cifras/deportes/deporte-federado.html"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3" Type="http://schemas.openxmlformats.org/officeDocument/2006/relationships/hyperlink" Target="https://servpub.madrid.es/CSEBD_WBINTER/seleccionSerie.html?numSerie=0702010000012" TargetMode="External"/><Relationship Id="rId7" Type="http://schemas.openxmlformats.org/officeDocument/2006/relationships/hyperlink" Target="https://www.madrid.es/portales/munimadrid/es/Inicio/El-Ayuntamiento/Estadistica/Areas-de-informacion-estadistica/Mercado-de-trabajo/Encuesta-de-Poblacion-Activa-EPA-/Media-Anual/?vgnextfmt=default&amp;vgnextoid=bc61bc926ef30310VgnVCM2000000c205a0aRCRD&amp;vgnextchannel=560d62a006986210VgnVCM2000000c205a0aRCRD" TargetMode="External"/><Relationship Id="rId2"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 Id="rId1"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 Id="rId6" Type="http://schemas.openxmlformats.org/officeDocument/2006/relationships/hyperlink" Target="https://datos.madrid.es/sites/v/index.jsp?vgnextoid=a9635ed2f1225410VgnVCM1000000b205a0aRCRD&amp;vgnextchannel=374512b9ace9f310VgnVCM100000171f5a0aRCRD" TargetMode="External"/><Relationship Id="rId5" Type="http://schemas.openxmlformats.org/officeDocument/2006/relationships/hyperlink" Target="https://datos.madrid.es/portal/site/egob/menuitem.c05c1f754a33a9fbe4b2e4b284f1a5a0/?vgnextoid=0ee64fc858ae0610VgnVCM1000001d4a900aRCRD&amp;vgnextchannel=374512b9ace9f310VgnVCM100000171f5a0aRCRD&amp;vgnextfmt=default" TargetMode="External"/><Relationship Id="rId4" Type="http://schemas.openxmlformats.org/officeDocument/2006/relationships/hyperlink" Target="https://datos.madrid.es/sites/v/index.jsp?vgnextoid=c8a92e322b82a710VgnVCM1000001d4a900aRCRD&amp;vgnextchannel=374512b9ace9f310VgnVCM100000171f5a0aRCR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3"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 Id="rId7" Type="http://schemas.openxmlformats.org/officeDocument/2006/relationships/hyperlink" Target="https://datos.madrid.es/portal/site/egob/menuitem.c05c1f754a33a9fbe4b2e4b284f1a5a0/?vgnextoid=58b6507f09436610VgnVCM2000001f4a900aRCRD&amp;vgnextchannel=374512b9ace9f310VgnVCM100000171f5a0aRCRD&amp;vgnextfmt=default" TargetMode="External"/><Relationship Id="rId2"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 Id="rId1" Type="http://schemas.openxmlformats.org/officeDocument/2006/relationships/hyperlink" Target="https://datos.madrid.es/portal/site/egob/menuitem.c05c1f754a33a9fbe4b2e4b284f1a5a0/?vgnextoid=7c2843010d9c3610VgnVCM2000001f4a900aRCRD&amp;vgnextchannel=374512b9ace9f310VgnVCM100000171f5a0aRCRD&amp;vgnextfmt=default" TargetMode="External"/><Relationship Id="rId6"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 Id="rId5" Type="http://schemas.openxmlformats.org/officeDocument/2006/relationships/hyperlink" Target="https://www.poderjudicial.es/cgpj/es/Temas/Estadistica-Judicial/Estadistica-por-temas/Datos-penales--civiles-y-laborales/Delitos-y-condenas/Condenados--explotacion-estadistica-del-Registro-Central-de-Penados-/" TargetMode="External"/><Relationship Id="rId4"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f22ff49c4495d310VgnVCM2000000c205a0aRCR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adrid.es/portales/munimadrid/es/Inicio/El-Ayuntamiento/Estadistica/Areas-de-informacion-estadistica/Mujeres-y-hombres/Indice-de-Desigualdad-de-Genero/?vgnextfmt=default&amp;vgnextoid=1ee5ffce3c063510VgnVCM2000001f4a900aRCRD&amp;vgnextchannel=12cec6e586753510VgnVCM1000001d4a900aRCRD" TargetMode="External"/><Relationship Id="rId2"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1" Type="http://schemas.openxmlformats.org/officeDocument/2006/relationships/hyperlink" Target="https://www.madrid.es/portales/munimadrid/es/Inicio/El-Ayuntamiento/Estadistica/Areas-de-informacion-estadistica/Mujeres-y-hombres/Indice-de-Desigualdad-de-Genero/?vgnextfmt=default&amp;vgnextoid=1ee5ffce3c063510VgnVCM2000001f4a900aRCRD&amp;vgnextchannel=12cec6e586753510VgnVCM1000001d4a900aRCRD"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8" Type="http://schemas.openxmlformats.org/officeDocument/2006/relationships/hyperlink" Target="https://servpub.madrid.es/CSEBD_WBINTER/seleccionSerie.html?numSerie=0302010200220" TargetMode="External"/><Relationship Id="rId3" Type="http://schemas.openxmlformats.org/officeDocument/2006/relationships/hyperlink" Target="https://servpub.madrid.es/CSEBD_WBINTER/seleccionSerie.html?numSerie=0302010200241" TargetMode="External"/><Relationship Id="rId7" Type="http://schemas.openxmlformats.org/officeDocument/2006/relationships/hyperlink" Target="https://servpub.madrid.es/CSEBD_WBINTER/seleccionSerie.html?numSerie=0302010200220" TargetMode="External"/><Relationship Id="rId2" Type="http://schemas.openxmlformats.org/officeDocument/2006/relationships/hyperlink" Target="https://servpub.madrid.es/CSEBD_WBINTER/seleccionSerie.html?numSerie=0302010200242" TargetMode="External"/><Relationship Id="rId1" Type="http://schemas.openxmlformats.org/officeDocument/2006/relationships/hyperlink" Target="https://servpub.madrid.es/CSEBD_WBINTER/seleccionSerie.html?numSerie=0302010600092" TargetMode="External"/><Relationship Id="rId6" Type="http://schemas.openxmlformats.org/officeDocument/2006/relationships/hyperlink" Target="https://servpub.madrid.es/CSEBD_WBINTER/seleccionSerie.html?numSerie=0302010600091" TargetMode="External"/><Relationship Id="rId5" Type="http://schemas.openxmlformats.org/officeDocument/2006/relationships/hyperlink" Target="https://servpub.madrid.es/CSEBD_WBINTER/seleccionSerie.html?numSerie=0302010600092" TargetMode="External"/><Relationship Id="rId4" Type="http://schemas.openxmlformats.org/officeDocument/2006/relationships/hyperlink" Target="https://servpub.madrid.es/CSEBD_WBINTER/seleccionSerie.html?numSerie=0302010600091"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FD68-6298-44B7-B748-B395A4D5B355}">
  <dimension ref="A1:H75"/>
  <sheetViews>
    <sheetView showGridLines="0" tabSelected="1" zoomScale="70" zoomScaleNormal="70" workbookViewId="0">
      <pane ySplit="4" topLeftCell="A5" activePane="bottomLeft" state="frozen"/>
      <selection pane="bottomLeft" activeCell="L10" sqref="L10"/>
    </sheetView>
  </sheetViews>
  <sheetFormatPr baseColWidth="10" defaultColWidth="11.453125" defaultRowHeight="14.5"/>
  <cols>
    <col min="1" max="1" width="26.453125" style="35" customWidth="1"/>
    <col min="2" max="2" width="20.453125" style="21" customWidth="1"/>
    <col min="3" max="3" width="6.453125" style="642" customWidth="1"/>
    <col min="4" max="4" width="107.1796875" style="21" customWidth="1"/>
    <col min="5" max="16384" width="11.453125" style="21"/>
  </cols>
  <sheetData>
    <row r="1" spans="1:6" ht="42" customHeight="1"/>
    <row r="2" spans="1:6" ht="21">
      <c r="A2" s="1093" t="s">
        <v>0</v>
      </c>
    </row>
    <row r="3" spans="1:6" ht="41.5" customHeight="1">
      <c r="A3" s="1108" t="s">
        <v>1</v>
      </c>
      <c r="B3" s="1108"/>
      <c r="C3" s="1108"/>
      <c r="D3" s="1108"/>
      <c r="E3" s="1108"/>
      <c r="F3" s="1108"/>
    </row>
    <row r="4" spans="1:6" ht="29.15" customHeight="1">
      <c r="A4" s="25" t="s">
        <v>2</v>
      </c>
      <c r="B4" s="913" t="s">
        <v>3</v>
      </c>
      <c r="C4" s="25" t="s">
        <v>4</v>
      </c>
      <c r="D4" s="25" t="s">
        <v>5</v>
      </c>
      <c r="E4" s="25" t="s">
        <v>6</v>
      </c>
      <c r="F4" s="25" t="s">
        <v>7</v>
      </c>
    </row>
    <row r="5" spans="1:6" ht="16.5" customHeight="1">
      <c r="A5" s="1121" t="s">
        <v>8</v>
      </c>
      <c r="B5" s="32"/>
      <c r="C5" s="607" t="s">
        <v>9</v>
      </c>
      <c r="D5" s="608" t="s">
        <v>10</v>
      </c>
      <c r="E5" s="609" t="s">
        <v>11</v>
      </c>
      <c r="F5" s="609" t="s">
        <v>11</v>
      </c>
    </row>
    <row r="6" spans="1:6" ht="16.5" customHeight="1">
      <c r="A6" s="1122"/>
      <c r="B6" s="33"/>
      <c r="C6" s="607" t="s">
        <v>12</v>
      </c>
      <c r="D6" s="608" t="s">
        <v>13</v>
      </c>
      <c r="E6" s="989" t="s">
        <v>14</v>
      </c>
      <c r="F6" s="609" t="s">
        <v>14</v>
      </c>
    </row>
    <row r="7" spans="1:6" ht="17.149999999999999" customHeight="1">
      <c r="A7" s="1123"/>
      <c r="B7" s="34"/>
      <c r="C7" s="607" t="s">
        <v>15</v>
      </c>
      <c r="D7" s="608" t="s">
        <v>16</v>
      </c>
      <c r="E7" s="609" t="s">
        <v>17</v>
      </c>
      <c r="F7" s="609" t="s">
        <v>17</v>
      </c>
    </row>
    <row r="8" spans="1:6" ht="14.5" customHeight="1">
      <c r="A8" s="1124" t="s">
        <v>18</v>
      </c>
      <c r="B8" s="1127" t="s">
        <v>19</v>
      </c>
      <c r="C8" s="610" t="s">
        <v>20</v>
      </c>
      <c r="D8" s="611" t="s">
        <v>21</v>
      </c>
      <c r="E8" s="612" t="s">
        <v>22</v>
      </c>
      <c r="F8" s="612" t="s">
        <v>22</v>
      </c>
    </row>
    <row r="9" spans="1:6">
      <c r="A9" s="1125"/>
      <c r="B9" s="1128"/>
      <c r="C9" s="610" t="s">
        <v>23</v>
      </c>
      <c r="D9" s="611" t="s">
        <v>24</v>
      </c>
      <c r="E9" s="613" t="s">
        <v>25</v>
      </c>
      <c r="F9" s="613" t="s">
        <v>25</v>
      </c>
    </row>
    <row r="10" spans="1:6">
      <c r="A10" s="1125"/>
      <c r="B10" s="1129"/>
      <c r="C10" s="610" t="s">
        <v>26</v>
      </c>
      <c r="D10" s="611" t="s">
        <v>27</v>
      </c>
      <c r="E10" s="612" t="s">
        <v>28</v>
      </c>
      <c r="F10" s="613" t="s">
        <v>28</v>
      </c>
    </row>
    <row r="11" spans="1:6" ht="14.5" customHeight="1">
      <c r="A11" s="1125"/>
      <c r="B11" s="1127" t="s">
        <v>29</v>
      </c>
      <c r="C11" s="610" t="s">
        <v>30</v>
      </c>
      <c r="D11" s="611" t="s">
        <v>31</v>
      </c>
      <c r="E11" s="612" t="s">
        <v>32</v>
      </c>
      <c r="F11" s="613" t="s">
        <v>32</v>
      </c>
    </row>
    <row r="12" spans="1:6">
      <c r="A12" s="1126"/>
      <c r="B12" s="1129"/>
      <c r="C12" s="610" t="s">
        <v>33</v>
      </c>
      <c r="D12" s="611" t="s">
        <v>34</v>
      </c>
      <c r="E12" s="612" t="s">
        <v>35</v>
      </c>
      <c r="F12" s="613" t="s">
        <v>35</v>
      </c>
    </row>
    <row r="13" spans="1:6" ht="14.5" customHeight="1">
      <c r="A13" s="1130" t="s">
        <v>36</v>
      </c>
      <c r="B13" s="1105" t="s">
        <v>37</v>
      </c>
      <c r="C13" s="614" t="s">
        <v>38</v>
      </c>
      <c r="D13" s="615" t="s">
        <v>39</v>
      </c>
      <c r="E13" s="616" t="s">
        <v>40</v>
      </c>
      <c r="F13" s="616" t="s">
        <v>40</v>
      </c>
    </row>
    <row r="14" spans="1:6">
      <c r="A14" s="1131"/>
      <c r="B14" s="1106"/>
      <c r="C14" s="614" t="s">
        <v>41</v>
      </c>
      <c r="D14" s="615" t="s">
        <v>42</v>
      </c>
      <c r="E14" s="616" t="s">
        <v>43</v>
      </c>
      <c r="F14" s="616" t="s">
        <v>43</v>
      </c>
    </row>
    <row r="15" spans="1:6">
      <c r="A15" s="1131"/>
      <c r="B15" s="1106"/>
      <c r="C15" s="614" t="s">
        <v>44</v>
      </c>
      <c r="D15" s="615" t="s">
        <v>45</v>
      </c>
      <c r="E15" s="616" t="s">
        <v>46</v>
      </c>
      <c r="F15" s="616" t="s">
        <v>46</v>
      </c>
    </row>
    <row r="16" spans="1:6">
      <c r="A16" s="1131"/>
      <c r="B16" s="1106"/>
      <c r="C16" s="614" t="s">
        <v>47</v>
      </c>
      <c r="D16" s="615" t="s">
        <v>48</v>
      </c>
      <c r="E16" s="616" t="s">
        <v>49</v>
      </c>
      <c r="F16" s="616" t="s">
        <v>49</v>
      </c>
    </row>
    <row r="17" spans="1:6">
      <c r="A17" s="1131"/>
      <c r="B17" s="1106"/>
      <c r="C17" s="614" t="s">
        <v>50</v>
      </c>
      <c r="D17" s="615" t="s">
        <v>51</v>
      </c>
      <c r="E17" s="616" t="s">
        <v>52</v>
      </c>
      <c r="F17" s="616" t="s">
        <v>52</v>
      </c>
    </row>
    <row r="18" spans="1:6">
      <c r="A18" s="1131"/>
      <c r="B18" s="1106"/>
      <c r="C18" s="614" t="s">
        <v>53</v>
      </c>
      <c r="D18" s="615" t="s">
        <v>54</v>
      </c>
      <c r="E18" s="616" t="s">
        <v>55</v>
      </c>
      <c r="F18" s="616" t="s">
        <v>55</v>
      </c>
    </row>
    <row r="19" spans="1:6">
      <c r="A19" s="1131"/>
      <c r="B19" s="1106"/>
      <c r="C19" s="614" t="s">
        <v>56</v>
      </c>
      <c r="D19" s="615" t="s">
        <v>57</v>
      </c>
      <c r="E19" s="616" t="s">
        <v>58</v>
      </c>
      <c r="F19" s="616" t="s">
        <v>58</v>
      </c>
    </row>
    <row r="20" spans="1:6">
      <c r="A20" s="1131"/>
      <c r="B20" s="1106"/>
      <c r="C20" s="614" t="s">
        <v>59</v>
      </c>
      <c r="D20" s="615" t="s">
        <v>60</v>
      </c>
      <c r="E20" s="617" t="s">
        <v>61</v>
      </c>
      <c r="F20" s="616" t="s">
        <v>61</v>
      </c>
    </row>
    <row r="21" spans="1:6">
      <c r="A21" s="1132"/>
      <c r="B21" s="1107"/>
      <c r="C21" s="614" t="s">
        <v>62</v>
      </c>
      <c r="D21" s="615" t="s">
        <v>63</v>
      </c>
      <c r="E21" s="617" t="s">
        <v>64</v>
      </c>
      <c r="F21" s="616" t="s">
        <v>64</v>
      </c>
    </row>
    <row r="22" spans="1:6" ht="15.65" customHeight="1">
      <c r="A22" s="1112" t="s">
        <v>65</v>
      </c>
      <c r="B22" s="1097" t="s">
        <v>66</v>
      </c>
      <c r="C22" s="618" t="s">
        <v>67</v>
      </c>
      <c r="D22" s="619" t="s">
        <v>68</v>
      </c>
      <c r="E22" s="620" t="s">
        <v>69</v>
      </c>
      <c r="F22" s="620" t="s">
        <v>69</v>
      </c>
    </row>
    <row r="23" spans="1:6">
      <c r="A23" s="1113"/>
      <c r="B23" s="1099"/>
      <c r="C23" s="618" t="s">
        <v>70</v>
      </c>
      <c r="D23" s="619" t="s">
        <v>71</v>
      </c>
      <c r="E23" s="620" t="s">
        <v>72</v>
      </c>
      <c r="F23" s="620" t="s">
        <v>72</v>
      </c>
    </row>
    <row r="24" spans="1:6">
      <c r="A24" s="1113"/>
      <c r="B24" s="1097" t="s">
        <v>73</v>
      </c>
      <c r="C24" s="618" t="s">
        <v>74</v>
      </c>
      <c r="D24" s="619" t="s">
        <v>75</v>
      </c>
      <c r="E24" s="620" t="s">
        <v>76</v>
      </c>
      <c r="F24" s="621" t="s">
        <v>76</v>
      </c>
    </row>
    <row r="25" spans="1:6">
      <c r="A25" s="1113"/>
      <c r="B25" s="1098"/>
      <c r="C25" s="618" t="s">
        <v>77</v>
      </c>
      <c r="D25" s="619" t="s">
        <v>78</v>
      </c>
      <c r="E25" s="620" t="s">
        <v>79</v>
      </c>
      <c r="F25" s="621" t="s">
        <v>79</v>
      </c>
    </row>
    <row r="26" spans="1:6">
      <c r="A26" s="1113"/>
      <c r="B26" s="1098"/>
      <c r="C26" s="618" t="s">
        <v>80</v>
      </c>
      <c r="D26" s="619" t="s">
        <v>81</v>
      </c>
      <c r="E26" s="621" t="s">
        <v>82</v>
      </c>
      <c r="F26" s="621" t="s">
        <v>82</v>
      </c>
    </row>
    <row r="27" spans="1:6">
      <c r="A27" s="1113"/>
      <c r="B27" s="1099"/>
      <c r="C27" s="618" t="s">
        <v>83</v>
      </c>
      <c r="D27" s="619" t="s">
        <v>84</v>
      </c>
      <c r="E27" s="620" t="s">
        <v>85</v>
      </c>
      <c r="F27" s="621" t="s">
        <v>85</v>
      </c>
    </row>
    <row r="28" spans="1:6" ht="14.5" customHeight="1">
      <c r="A28" s="1113"/>
      <c r="B28" s="1097" t="s">
        <v>86</v>
      </c>
      <c r="C28" s="618" t="s">
        <v>87</v>
      </c>
      <c r="D28" s="619" t="s">
        <v>88</v>
      </c>
      <c r="E28" s="620" t="s">
        <v>89</v>
      </c>
      <c r="F28" s="621" t="s">
        <v>89</v>
      </c>
    </row>
    <row r="29" spans="1:6">
      <c r="A29" s="1113"/>
      <c r="B29" s="1098"/>
      <c r="C29" s="618" t="s">
        <v>90</v>
      </c>
      <c r="D29" s="619" t="s">
        <v>91</v>
      </c>
      <c r="E29" s="620" t="s">
        <v>92</v>
      </c>
      <c r="F29" s="621" t="s">
        <v>92</v>
      </c>
    </row>
    <row r="30" spans="1:6">
      <c r="A30" s="1113"/>
      <c r="B30" s="1098"/>
      <c r="C30" s="618" t="s">
        <v>93</v>
      </c>
      <c r="D30" s="619" t="s">
        <v>94</v>
      </c>
      <c r="E30" s="621" t="s">
        <v>95</v>
      </c>
      <c r="F30" s="621" t="s">
        <v>95</v>
      </c>
    </row>
    <row r="31" spans="1:6">
      <c r="A31" s="1113"/>
      <c r="B31" s="1099"/>
      <c r="C31" s="618" t="s">
        <v>96</v>
      </c>
      <c r="D31" s="619" t="s">
        <v>97</v>
      </c>
      <c r="E31" s="620" t="s">
        <v>98</v>
      </c>
      <c r="F31" s="621" t="s">
        <v>98</v>
      </c>
    </row>
    <row r="32" spans="1:6">
      <c r="A32" s="1113"/>
      <c r="B32" s="1097" t="s">
        <v>99</v>
      </c>
      <c r="C32" s="618" t="s">
        <v>100</v>
      </c>
      <c r="D32" s="619" t="s">
        <v>101</v>
      </c>
      <c r="E32" s="620" t="s">
        <v>102</v>
      </c>
      <c r="F32" s="621" t="s">
        <v>102</v>
      </c>
    </row>
    <row r="33" spans="1:6">
      <c r="A33" s="1113"/>
      <c r="B33" s="1098"/>
      <c r="C33" s="618" t="s">
        <v>103</v>
      </c>
      <c r="D33" s="619" t="s">
        <v>104</v>
      </c>
      <c r="E33" s="620" t="s">
        <v>105</v>
      </c>
      <c r="F33" s="621" t="s">
        <v>105</v>
      </c>
    </row>
    <row r="34" spans="1:6">
      <c r="A34" s="1114"/>
      <c r="B34" s="1099"/>
      <c r="C34" s="618" t="s">
        <v>106</v>
      </c>
      <c r="D34" s="619" t="s">
        <v>107</v>
      </c>
      <c r="E34" s="620" t="s">
        <v>108</v>
      </c>
      <c r="F34" s="621" t="s">
        <v>108</v>
      </c>
    </row>
    <row r="35" spans="1:6">
      <c r="A35" s="1115" t="s">
        <v>109</v>
      </c>
      <c r="B35" s="1109"/>
      <c r="C35" s="622" t="s">
        <v>110</v>
      </c>
      <c r="D35" s="623" t="s">
        <v>111</v>
      </c>
      <c r="E35" s="624" t="s">
        <v>112</v>
      </c>
      <c r="F35" s="624" t="s">
        <v>112</v>
      </c>
    </row>
    <row r="36" spans="1:6">
      <c r="A36" s="1116"/>
      <c r="B36" s="1110"/>
      <c r="C36" s="622" t="s">
        <v>113</v>
      </c>
      <c r="D36" s="623" t="s">
        <v>114</v>
      </c>
      <c r="E36" s="624" t="s">
        <v>115</v>
      </c>
      <c r="F36" s="624" t="s">
        <v>115</v>
      </c>
    </row>
    <row r="37" spans="1:6">
      <c r="A37" s="1116"/>
      <c r="B37" s="1110"/>
      <c r="C37" s="622" t="s">
        <v>116</v>
      </c>
      <c r="D37" s="623" t="s">
        <v>117</v>
      </c>
      <c r="E37" s="624" t="s">
        <v>118</v>
      </c>
      <c r="F37" s="624" t="s">
        <v>118</v>
      </c>
    </row>
    <row r="38" spans="1:6">
      <c r="A38" s="1116"/>
      <c r="B38" s="1110"/>
      <c r="C38" s="622" t="s">
        <v>119</v>
      </c>
      <c r="D38" s="623" t="s">
        <v>120</v>
      </c>
      <c r="E38" s="624" t="s">
        <v>121</v>
      </c>
      <c r="F38" s="625" t="s">
        <v>121</v>
      </c>
    </row>
    <row r="39" spans="1:6">
      <c r="A39" s="1116"/>
      <c r="B39" s="1110"/>
      <c r="C39" s="622" t="s">
        <v>122</v>
      </c>
      <c r="D39" s="623" t="s">
        <v>123</v>
      </c>
      <c r="E39" s="624" t="s">
        <v>124</v>
      </c>
      <c r="F39" s="625" t="s">
        <v>124</v>
      </c>
    </row>
    <row r="40" spans="1:6">
      <c r="A40" s="1117"/>
      <c r="B40" s="1111"/>
      <c r="C40" s="622" t="s">
        <v>125</v>
      </c>
      <c r="D40" s="623" t="s">
        <v>126</v>
      </c>
      <c r="E40" s="625" t="s">
        <v>127</v>
      </c>
      <c r="F40" s="625" t="s">
        <v>127</v>
      </c>
    </row>
    <row r="41" spans="1:6" ht="14.5" customHeight="1">
      <c r="A41" s="1118" t="s">
        <v>128</v>
      </c>
      <c r="B41" s="1100" t="s">
        <v>129</v>
      </c>
      <c r="C41" s="626" t="s">
        <v>130</v>
      </c>
      <c r="D41" s="627" t="s">
        <v>131</v>
      </c>
      <c r="E41" s="628" t="s">
        <v>132</v>
      </c>
      <c r="F41" s="628" t="s">
        <v>132</v>
      </c>
    </row>
    <row r="42" spans="1:6" ht="14.5" customHeight="1">
      <c r="A42" s="1119"/>
      <c r="B42" s="1101"/>
      <c r="C42" s="626" t="s">
        <v>133</v>
      </c>
      <c r="D42" s="627" t="s">
        <v>134</v>
      </c>
      <c r="E42" s="628" t="s">
        <v>133</v>
      </c>
      <c r="F42" s="628" t="s">
        <v>135</v>
      </c>
    </row>
    <row r="43" spans="1:6" ht="29">
      <c r="A43" s="1119"/>
      <c r="B43" s="1101"/>
      <c r="C43" s="626" t="s">
        <v>136</v>
      </c>
      <c r="D43" s="627" t="s">
        <v>137</v>
      </c>
      <c r="E43" s="629" t="s">
        <v>138</v>
      </c>
      <c r="F43" s="628" t="s">
        <v>138</v>
      </c>
    </row>
    <row r="44" spans="1:6">
      <c r="A44" s="1119"/>
      <c r="B44" s="1102"/>
      <c r="C44" s="626" t="s">
        <v>139</v>
      </c>
      <c r="D44" s="627" t="s">
        <v>140</v>
      </c>
      <c r="E44" s="629" t="s">
        <v>141</v>
      </c>
      <c r="F44" s="628" t="s">
        <v>141</v>
      </c>
    </row>
    <row r="45" spans="1:6">
      <c r="A45" s="1119"/>
      <c r="B45" s="1103" t="s">
        <v>142</v>
      </c>
      <c r="C45" s="626" t="s">
        <v>143</v>
      </c>
      <c r="D45" s="627" t="s">
        <v>144</v>
      </c>
      <c r="E45" s="629" t="s">
        <v>145</v>
      </c>
      <c r="F45" s="628" t="s">
        <v>145</v>
      </c>
    </row>
    <row r="46" spans="1:6">
      <c r="A46" s="1119"/>
      <c r="B46" s="1101"/>
      <c r="C46" s="626" t="s">
        <v>146</v>
      </c>
      <c r="D46" s="627" t="s">
        <v>147</v>
      </c>
      <c r="E46" s="629" t="s">
        <v>148</v>
      </c>
      <c r="F46" s="628" t="s">
        <v>148</v>
      </c>
    </row>
    <row r="47" spans="1:6">
      <c r="A47" s="1120"/>
      <c r="B47" s="1104"/>
      <c r="C47" s="626" t="s">
        <v>149</v>
      </c>
      <c r="D47" s="627" t="s">
        <v>150</v>
      </c>
      <c r="E47" s="629" t="s">
        <v>151</v>
      </c>
      <c r="F47" s="628" t="s">
        <v>151</v>
      </c>
    </row>
    <row r="48" spans="1:6" ht="15.65" customHeight="1">
      <c r="A48" s="1150" t="s">
        <v>152</v>
      </c>
      <c r="B48" s="1140" t="s">
        <v>153</v>
      </c>
      <c r="C48" s="630" t="s">
        <v>154</v>
      </c>
      <c r="D48" s="631" t="s">
        <v>155</v>
      </c>
      <c r="E48" s="632" t="s">
        <v>156</v>
      </c>
      <c r="F48" s="632" t="s">
        <v>156</v>
      </c>
    </row>
    <row r="49" spans="1:8">
      <c r="A49" s="1151"/>
      <c r="B49" s="1141"/>
      <c r="C49" s="630" t="s">
        <v>157</v>
      </c>
      <c r="D49" s="631" t="s">
        <v>158</v>
      </c>
      <c r="E49" s="632" t="s">
        <v>159</v>
      </c>
      <c r="F49" s="632" t="s">
        <v>159</v>
      </c>
    </row>
    <row r="50" spans="1:8">
      <c r="A50" s="1151"/>
      <c r="B50" s="1142"/>
      <c r="C50" s="630" t="s">
        <v>160</v>
      </c>
      <c r="D50" s="631" t="s">
        <v>161</v>
      </c>
      <c r="E50" s="632" t="s">
        <v>162</v>
      </c>
      <c r="F50" s="632" t="s">
        <v>162</v>
      </c>
    </row>
    <row r="51" spans="1:8">
      <c r="A51" s="1151"/>
      <c r="B51" s="1140" t="s">
        <v>163</v>
      </c>
      <c r="C51" s="630" t="s">
        <v>164</v>
      </c>
      <c r="D51" s="631" t="s">
        <v>165</v>
      </c>
      <c r="E51" s="632" t="s">
        <v>166</v>
      </c>
      <c r="F51" s="632" t="s">
        <v>166</v>
      </c>
      <c r="G51" s="988"/>
      <c r="H51" s="988"/>
    </row>
    <row r="52" spans="1:8">
      <c r="A52" s="1151"/>
      <c r="B52" s="1141"/>
      <c r="C52" s="630" t="s">
        <v>167</v>
      </c>
      <c r="D52" s="631" t="s">
        <v>168</v>
      </c>
      <c r="E52" s="633" t="s">
        <v>169</v>
      </c>
      <c r="F52" s="632" t="s">
        <v>169</v>
      </c>
      <c r="G52" s="988"/>
      <c r="H52" s="988"/>
    </row>
    <row r="53" spans="1:8">
      <c r="A53" s="1151"/>
      <c r="B53" s="1142"/>
      <c r="C53" s="630" t="s">
        <v>170</v>
      </c>
      <c r="D53" s="631" t="s">
        <v>171</v>
      </c>
      <c r="E53" s="633" t="s">
        <v>172</v>
      </c>
      <c r="F53" s="633" t="s">
        <v>172</v>
      </c>
      <c r="G53" s="988"/>
      <c r="H53" s="988"/>
    </row>
    <row r="54" spans="1:8">
      <c r="A54" s="1151"/>
      <c r="B54" s="1140" t="s">
        <v>173</v>
      </c>
      <c r="C54" s="630" t="s">
        <v>174</v>
      </c>
      <c r="D54" s="631" t="s">
        <v>175</v>
      </c>
      <c r="E54" s="633" t="s">
        <v>176</v>
      </c>
      <c r="F54" s="633" t="s">
        <v>176</v>
      </c>
    </row>
    <row r="55" spans="1:8">
      <c r="A55" s="1151"/>
      <c r="B55" s="1146"/>
      <c r="C55" s="630" t="s">
        <v>177</v>
      </c>
      <c r="D55" s="631" t="s">
        <v>178</v>
      </c>
      <c r="E55" s="633" t="s">
        <v>179</v>
      </c>
      <c r="F55" s="633" t="s">
        <v>179</v>
      </c>
    </row>
    <row r="56" spans="1:8">
      <c r="A56" s="1151"/>
      <c r="B56" s="895"/>
      <c r="C56" s="630" t="s">
        <v>180</v>
      </c>
      <c r="D56" s="631" t="s">
        <v>181</v>
      </c>
      <c r="E56" s="632" t="s">
        <v>182</v>
      </c>
      <c r="F56" s="633" t="s">
        <v>182</v>
      </c>
    </row>
    <row r="57" spans="1:8">
      <c r="A57" s="1151"/>
      <c r="B57" s="895" t="s">
        <v>183</v>
      </c>
      <c r="C57" s="630" t="s">
        <v>184</v>
      </c>
      <c r="D57" s="631" t="s">
        <v>185</v>
      </c>
      <c r="E57" s="632" t="s">
        <v>186</v>
      </c>
      <c r="F57" s="633" t="s">
        <v>186</v>
      </c>
    </row>
    <row r="58" spans="1:8">
      <c r="A58" s="1151"/>
      <c r="B58" s="895"/>
      <c r="C58" s="630" t="s">
        <v>187</v>
      </c>
      <c r="D58" s="631" t="s">
        <v>188</v>
      </c>
      <c r="E58" s="633" t="s">
        <v>189</v>
      </c>
      <c r="F58" s="633" t="s">
        <v>189</v>
      </c>
    </row>
    <row r="59" spans="1:8">
      <c r="A59" s="1152"/>
      <c r="B59" s="895"/>
      <c r="C59" s="630" t="s">
        <v>190</v>
      </c>
      <c r="D59" s="631" t="s">
        <v>191</v>
      </c>
      <c r="E59" s="633" t="s">
        <v>192</v>
      </c>
      <c r="F59" s="633" t="s">
        <v>192</v>
      </c>
    </row>
    <row r="60" spans="1:8" ht="14.15" customHeight="1">
      <c r="A60" s="1147" t="s">
        <v>193</v>
      </c>
      <c r="B60" s="1143" t="s">
        <v>194</v>
      </c>
      <c r="C60" s="634" t="s">
        <v>195</v>
      </c>
      <c r="D60" s="635" t="s">
        <v>196</v>
      </c>
      <c r="E60" s="636" t="s">
        <v>197</v>
      </c>
      <c r="F60" s="636" t="s">
        <v>197</v>
      </c>
    </row>
    <row r="61" spans="1:8">
      <c r="A61" s="1148"/>
      <c r="B61" s="1144"/>
      <c r="C61" s="634" t="s">
        <v>198</v>
      </c>
      <c r="D61" s="635" t="s">
        <v>199</v>
      </c>
      <c r="E61" s="637" t="s">
        <v>200</v>
      </c>
      <c r="F61" s="636" t="s">
        <v>200</v>
      </c>
    </row>
    <row r="62" spans="1:8">
      <c r="A62" s="1148"/>
      <c r="B62" s="1145"/>
      <c r="C62" s="634" t="s">
        <v>201</v>
      </c>
      <c r="D62" s="635" t="s">
        <v>202</v>
      </c>
      <c r="E62" s="636" t="s">
        <v>203</v>
      </c>
      <c r="F62" s="637" t="s">
        <v>203</v>
      </c>
    </row>
    <row r="63" spans="1:8" ht="14.5" customHeight="1">
      <c r="A63" s="1148"/>
      <c r="B63" s="1143" t="s">
        <v>204</v>
      </c>
      <c r="C63" s="634" t="s">
        <v>205</v>
      </c>
      <c r="D63" s="635" t="s">
        <v>206</v>
      </c>
      <c r="E63" s="636" t="s">
        <v>207</v>
      </c>
      <c r="F63" s="637" t="s">
        <v>207</v>
      </c>
    </row>
    <row r="64" spans="1:8">
      <c r="A64" s="1148"/>
      <c r="B64" s="1144"/>
      <c r="C64" s="634" t="s">
        <v>208</v>
      </c>
      <c r="D64" s="635" t="s">
        <v>209</v>
      </c>
      <c r="E64" s="636" t="s">
        <v>210</v>
      </c>
      <c r="F64" s="637" t="s">
        <v>210</v>
      </c>
    </row>
    <row r="65" spans="1:6">
      <c r="A65" s="1148"/>
      <c r="B65" s="1144"/>
      <c r="C65" s="634" t="s">
        <v>211</v>
      </c>
      <c r="D65" s="635" t="s">
        <v>212</v>
      </c>
      <c r="E65" s="637" t="s">
        <v>213</v>
      </c>
      <c r="F65" s="637" t="s">
        <v>213</v>
      </c>
    </row>
    <row r="66" spans="1:6">
      <c r="A66" s="1148"/>
      <c r="B66" s="1144"/>
      <c r="C66" s="634" t="s">
        <v>214</v>
      </c>
      <c r="D66" s="635" t="s">
        <v>215</v>
      </c>
      <c r="E66" s="637" t="s">
        <v>216</v>
      </c>
      <c r="F66" s="637" t="s">
        <v>216</v>
      </c>
    </row>
    <row r="67" spans="1:6">
      <c r="A67" s="1149"/>
      <c r="B67" s="1145"/>
      <c r="C67" s="634" t="s">
        <v>217</v>
      </c>
      <c r="D67" s="635" t="s">
        <v>218</v>
      </c>
      <c r="E67" s="636" t="s">
        <v>219</v>
      </c>
      <c r="F67" s="637" t="s">
        <v>219</v>
      </c>
    </row>
    <row r="68" spans="1:6">
      <c r="A68" s="1137" t="s">
        <v>220</v>
      </c>
      <c r="B68" s="1133" t="s">
        <v>221</v>
      </c>
      <c r="C68" s="638" t="s">
        <v>222</v>
      </c>
      <c r="D68" s="639" t="s">
        <v>223</v>
      </c>
      <c r="E68" s="640" t="s">
        <v>224</v>
      </c>
      <c r="F68" s="640" t="s">
        <v>224</v>
      </c>
    </row>
    <row r="69" spans="1:6">
      <c r="A69" s="1138"/>
      <c r="B69" s="1134"/>
      <c r="C69" s="638" t="s">
        <v>225</v>
      </c>
      <c r="D69" s="639" t="s">
        <v>226</v>
      </c>
      <c r="E69" s="640" t="s">
        <v>227</v>
      </c>
      <c r="F69" s="640" t="s">
        <v>227</v>
      </c>
    </row>
    <row r="70" spans="1:6">
      <c r="A70" s="1138"/>
      <c r="B70" s="1134"/>
      <c r="C70" s="638" t="s">
        <v>228</v>
      </c>
      <c r="D70" s="639" t="s">
        <v>229</v>
      </c>
      <c r="E70" s="640" t="s">
        <v>230</v>
      </c>
      <c r="F70" s="640" t="s">
        <v>230</v>
      </c>
    </row>
    <row r="71" spans="1:6">
      <c r="A71" s="1138"/>
      <c r="B71" s="1135"/>
      <c r="C71" s="638" t="s">
        <v>231</v>
      </c>
      <c r="D71" s="639" t="s">
        <v>232</v>
      </c>
      <c r="E71" s="640" t="s">
        <v>233</v>
      </c>
      <c r="F71" s="641" t="s">
        <v>233</v>
      </c>
    </row>
    <row r="72" spans="1:6">
      <c r="A72" s="1138"/>
      <c r="B72" s="1133" t="s">
        <v>234</v>
      </c>
      <c r="C72" s="638" t="s">
        <v>235</v>
      </c>
      <c r="D72" s="639" t="s">
        <v>236</v>
      </c>
      <c r="E72" s="641" t="s">
        <v>237</v>
      </c>
      <c r="F72" s="641" t="s">
        <v>237</v>
      </c>
    </row>
    <row r="73" spans="1:6">
      <c r="A73" s="1138"/>
      <c r="B73" s="1134"/>
      <c r="C73" s="638" t="s">
        <v>238</v>
      </c>
      <c r="D73" s="639" t="s">
        <v>239</v>
      </c>
      <c r="E73" s="641" t="s">
        <v>240</v>
      </c>
      <c r="F73" s="640" t="s">
        <v>240</v>
      </c>
    </row>
    <row r="74" spans="1:6" ht="29">
      <c r="A74" s="1139"/>
      <c r="B74" s="1136"/>
      <c r="C74" s="638" t="s">
        <v>241</v>
      </c>
      <c r="D74" s="639" t="s">
        <v>242</v>
      </c>
      <c r="E74" s="641" t="s">
        <v>243</v>
      </c>
      <c r="F74" s="640" t="s">
        <v>243</v>
      </c>
    </row>
    <row r="75" spans="1:6">
      <c r="A75" s="38"/>
      <c r="B75" s="39"/>
    </row>
  </sheetData>
  <mergeCells count="27">
    <mergeCell ref="B11:B12"/>
    <mergeCell ref="A13:A21"/>
    <mergeCell ref="B68:B71"/>
    <mergeCell ref="B72:B74"/>
    <mergeCell ref="A68:A74"/>
    <mergeCell ref="B51:B53"/>
    <mergeCell ref="B48:B50"/>
    <mergeCell ref="B60:B62"/>
    <mergeCell ref="B54:B55"/>
    <mergeCell ref="A60:A67"/>
    <mergeCell ref="B63:B67"/>
    <mergeCell ref="A48:A59"/>
    <mergeCell ref="B32:B34"/>
    <mergeCell ref="B41:B44"/>
    <mergeCell ref="B45:B47"/>
    <mergeCell ref="B22:B23"/>
    <mergeCell ref="B24:B27"/>
    <mergeCell ref="B28:B31"/>
    <mergeCell ref="B13:B21"/>
    <mergeCell ref="A3:F3"/>
    <mergeCell ref="B35:B40"/>
    <mergeCell ref="A22:A34"/>
    <mergeCell ref="A35:A40"/>
    <mergeCell ref="A41:A47"/>
    <mergeCell ref="A5:A7"/>
    <mergeCell ref="A8:A12"/>
    <mergeCell ref="B8:B10"/>
  </mergeCells>
  <phoneticPr fontId="38" type="noConversion"/>
  <hyperlinks>
    <hyperlink ref="A8:A12" location="'2. POBLACIÓN Y HOGARES'!A1" display="2. Población y hogares" xr:uid="{551AC56E-FCDF-490F-A4FE-CA0A9175BC04}"/>
    <hyperlink ref="A13:A21" location="'3. EMPLEO Y ACTIVIDAD ECONÓMICA'!A1" display="3. Empleo y Actividad Económica" xr:uid="{D0A7A4D7-FF66-47B5-9CCB-861E3765BF83}"/>
    <hyperlink ref="A22:A34" location="'4. RENTA, POBREZA, PROT. Y VIV'!A1" display="4. Renta, protección social, pobreza y vivienda" xr:uid="{B0AA4388-1EBF-4F2E-AB1A-46226F3820FD}"/>
    <hyperlink ref="A5:A7" location="'1.SITUACIÓN GLOBAL'!A1" display="1. Situación global de la desigualdad en la ciudad de Madrid" xr:uid="{79469D7E-A2B1-4CD3-9A03-677FC8AA2828}"/>
    <hyperlink ref="A35:A40" location="'5. SALUD'!A1" display="5. Salud" xr:uid="{0A150FEE-28CF-471D-85F3-16F8D6F938FC}"/>
    <hyperlink ref="A41:A47" location="'6. CUIDADOS'!A1" display="6. Cuidados y Corresponsabilidad" xr:uid="{D07847AD-F999-41AD-9D78-E39AC3D84D17}"/>
    <hyperlink ref="A48:A59" location="'7. EDUC, CIEN, CULT Y DEP'!A1" display="7. Educación, Ciencia, Cultura y Deporte" xr:uid="{E7C32778-C69C-452D-AC10-155583D85A98}"/>
    <hyperlink ref="A60:A67" location="'8. PODER Y PARTICIPACIÓN'!A1" display="8. Poder y Participación Ciudadana" xr:uid="{887D9E3A-879B-4756-957B-4C03BB39C249}"/>
    <hyperlink ref="A68:A74" location="'9. SEGURIDAD Y MOVILIDAD'!A1" display="9. Seguridad y Movilidad" xr:uid="{562E4910-B7D5-4FC8-915A-AA12E518075F}"/>
    <hyperlink ref="E6" location="'1. Gráficas'!A30" display="1.2" xr:uid="{C02A63C1-0766-45CB-A7D9-C140C0294FA3}"/>
    <hyperlink ref="E7" location="'1. Gráficas'!A44" display="1.3" xr:uid="{865FE6C6-4286-4E06-BAB8-2DC1704E7ABF}"/>
    <hyperlink ref="F5" location="'1. Ficha'!A2" display="1.1." xr:uid="{D5D7AAA1-A2AC-4EF9-8BCC-E4D402F7202A}"/>
    <hyperlink ref="F6" location="'1. Ficha'!A9" display="1.2." xr:uid="{220AD8DB-57F0-4406-84E1-2B5D3D2B55CE}"/>
    <hyperlink ref="F7" location="'1. Ficha'!A16" display="1.3." xr:uid="{CAB046A8-D5B4-40C3-8642-47090B631D7B}"/>
    <hyperlink ref="E8" location="'2. Gráficas'!A3" display="2.1." xr:uid="{ABAFA158-0355-48F0-B5DC-407F602C2E81}"/>
    <hyperlink ref="E9" location="'2. Gráficas'!I38" display="2.2" xr:uid="{A5AA82B1-DF16-4270-9C10-302A32F97010}"/>
    <hyperlink ref="E10" location="'2. Gráficas'!A57" display=" 2.3. " xr:uid="{684F7EEF-AC2C-4F05-A01D-EE746E4FFE3E}"/>
    <hyperlink ref="E11" location="'2. Gráficas'!I74" display="2.4" xr:uid="{5E452582-808F-43EC-97B1-27FDE16A939B}"/>
    <hyperlink ref="E12" location="'2. Gráficas'!A96" display="2.5" xr:uid="{B0103578-83FE-4E24-A1E5-A40AAEF3A971}"/>
    <hyperlink ref="F8" location="'2. Ficha'!A2" display="2.1." xr:uid="{9C18A8D0-24CD-47C8-82FB-41B3CAF288CB}"/>
    <hyperlink ref="F9" location="'2. Ficha'!A10" display="2.2" xr:uid="{A906BEA7-E039-411D-8F0C-8A58D2F7E626}"/>
    <hyperlink ref="F10" location="'2. Ficha'!A20" display=" 2.3" xr:uid="{2E187757-82ED-4B90-A598-AE72436F1014}"/>
    <hyperlink ref="F11" location="'2. Ficha'!A28" display="2.4" xr:uid="{E1E62ACC-7827-4AA5-AFF5-6F157AF16A0B}"/>
    <hyperlink ref="F12" location="'2. Ficha'!A36" display="2.5" xr:uid="{7C1FCFDA-5294-4973-9D17-1FF721962A2F}"/>
    <hyperlink ref="E13" location="'3. Gráficas'!A2" display="3.1." xr:uid="{C8C11EB4-720F-4DA7-8399-E366FB0D66B0}"/>
    <hyperlink ref="E14" location="'3. Gráficas'!J2" display="3.2." xr:uid="{45C5A29D-0A06-411C-8E68-9FB663B678F6}"/>
    <hyperlink ref="E15" location="'3. Gráficas'!A21" display="3.3." xr:uid="{A6A39279-46A4-4CE7-BEB9-B9CB498837EE}"/>
    <hyperlink ref="E16" location="'3. Gráficas'!J21" display="3.4." xr:uid="{DE6DF701-5DC6-41B3-86E0-E3378D310CF4}"/>
    <hyperlink ref="E17" location="'3. Gráficas'!A40" display="3.5." xr:uid="{03AA45A3-79E6-4A5A-B449-941A85632330}"/>
    <hyperlink ref="E18" location="'3. Gráficas'!A43" display="3.6" xr:uid="{5B3B50AC-70FB-4BE5-BEAD-2C2E07EC999C}"/>
    <hyperlink ref="E19" location="'3. Gráficas'!A61" display="3.7" xr:uid="{E377A8F9-B5AF-4EF5-B821-672A6669381E}"/>
    <hyperlink ref="E20" location="'3. Gráficas'!J65" display="3.8" xr:uid="{E2EB5222-AE8B-4BE3-8047-4A6E33AF84EE}"/>
    <hyperlink ref="E21" location="'3. Gráficas'!B86" display="3.9" xr:uid="{9EA204D8-93FD-48A5-80DE-401BAAC3F2C8}"/>
    <hyperlink ref="F13" location="'3. Ficha'!A2" display="3.1." xr:uid="{C18AF450-11E2-4E43-B7F9-4D4CEECFF1D2}"/>
    <hyperlink ref="F14" location="'3. Ficha'!A9" display="3.2." xr:uid="{B7540767-A18F-4C62-BF6F-BE30CDB3DA3B}"/>
    <hyperlink ref="F15" location="'3. Ficha'!A16" display="3.3." xr:uid="{837619CD-1988-4EA5-B9E7-80362E51216F}"/>
    <hyperlink ref="F16" location="'3. Ficha'!A23" display="3.4." xr:uid="{427BB42F-E044-41CC-884E-17E5CFAEDCC9}"/>
    <hyperlink ref="F17" location="'3. Ficha'!A30" display="3.5." xr:uid="{9AC0B049-4E96-49AE-8D94-352A7F38E75A}"/>
    <hyperlink ref="F18" location="'3. Ficha'!A37" display="3.6" xr:uid="{DB53E838-61B2-4EA9-94EB-DE50143DB7AB}"/>
    <hyperlink ref="F19" location="'3. Ficha'!A44" display="3.7" xr:uid="{F9C878B9-69C8-42F0-8926-5D37A41A1114}"/>
    <hyperlink ref="F20" location="'3. Ficha'!A51" display="3.8" xr:uid="{2F233EE4-2A17-4C43-829D-91217D9B56F8}"/>
    <hyperlink ref="F21" location="'3. Ficha'!A59" display="3.9" xr:uid="{FAE48E5C-F627-4572-8273-C86B244B4DDA}"/>
    <hyperlink ref="E22" location="'4. Gráficas'!A3" display="4.1." xr:uid="{48306D88-1E88-49B4-9DA5-26A1F5851D2C}"/>
    <hyperlink ref="E23" location="'4. Gráficas'!J3" display="4.2." xr:uid="{A574570F-6E18-4436-A4E0-EE7D66BD7205}"/>
    <hyperlink ref="E24" location="'4. Gráficas'!A21" display="4.3." xr:uid="{15A84A95-456B-472B-97EB-970FA6206ABE}"/>
    <hyperlink ref="E26" location="'4. Gráficas'!A40" display="4.5" xr:uid="{B15FE154-0A7F-4C2C-AD80-5425FF223D87}"/>
    <hyperlink ref="E27" location="'4. Gráficas'!J39" display="4.6." xr:uid="{D708FCE9-3F4B-4DA9-9002-0F78074905BA}"/>
    <hyperlink ref="E28" location="'4. Gráficas'!A57" display="4.7." xr:uid="{14AF71BC-4A2E-442D-AE31-089DDE55280F}"/>
    <hyperlink ref="E30" location="'4. Gráficas'!A93" display="4.9" xr:uid="{B03159C7-8E73-4A07-8515-6D333E20DAC4}"/>
    <hyperlink ref="E32" location="'4. Gráficas'!A111" display="4.10" xr:uid="{3CA0B7F3-B890-4500-8CF3-B0700BCE9141}"/>
    <hyperlink ref="E25" location="'4. Gráficas'!J21" display="4.4." xr:uid="{72AB23EC-86DB-4479-A3E6-070C4CE0B6B8}"/>
    <hyperlink ref="E29" location="'4. Gráficas'!A76" display="4.8" xr:uid="{A787DE45-71AB-4104-954F-CC6C3A7A5B4E}"/>
    <hyperlink ref="E33" location="'4. Gráficas'!M111" display="4.11" xr:uid="{D1F10C7D-E0A7-4F25-B7C7-DE357B37AF4E}"/>
    <hyperlink ref="E34" location="'4. Gráficas'!A128" display="4.12" xr:uid="{06EE65E1-EB6F-4D9A-9585-60746B45154F}"/>
    <hyperlink ref="E31" location="'4. Gráficas'!B145" display="4.13" xr:uid="{9FBA9AFC-C6E2-4499-A066-C95FE97B0868}"/>
    <hyperlink ref="F22" location="'4. Ficha'!A2" display="4.1." xr:uid="{A7B5E857-E32B-43D9-AC0E-10E4137EA284}"/>
    <hyperlink ref="F23" location="'4. Ficha'!A9" display="4.2." xr:uid="{640A618E-6EA1-4CCE-873A-C29B081E7553}"/>
    <hyperlink ref="F24" location="'4. Ficha'!A17" display="4.3" xr:uid="{CAF0846E-3387-46A5-B415-85F15B3AA9C7}"/>
    <hyperlink ref="F25" location="'4. Ficha'!A25" display="4.4" xr:uid="{E0BB0286-FA33-4C0B-BE43-747923372EAD}"/>
    <hyperlink ref="F26" location="'4. Ficha'!A32" display="4.5" xr:uid="{FDAEE270-95A4-44E7-BBA5-79499547C69D}"/>
    <hyperlink ref="F27" location="'4. Ficha'!A39" display="4.6" xr:uid="{E510DE1F-DDD7-46F5-A0B9-DFF7E5AD593C}"/>
    <hyperlink ref="F28" location="'4. Ficha'!A47" display="4.7" xr:uid="{612D5C42-EC04-42B5-A27B-E21B180C6C34}"/>
    <hyperlink ref="F29" location="'4. Ficha'!A54" display="4.8" xr:uid="{8E4E24A3-59D4-4BA3-94D3-E85B01DB242E}"/>
    <hyperlink ref="F30" location="'4. Ficha'!A61" display="4.9" xr:uid="{C89553C6-534B-4FF1-88FF-D2B7965ACBD4}"/>
    <hyperlink ref="F32" location="'4. Ficha'!A69" display="4.10" xr:uid="{CB7790EB-973A-44DF-9412-1D8C0996AEA8}"/>
    <hyperlink ref="F33" location="'4. Ficha'!A76" display="4.11" xr:uid="{D2260472-B66D-4756-9F7E-F973C6650FA0}"/>
    <hyperlink ref="F34" location="'4. Ficha'!A84" display="4.12" xr:uid="{2D9E9B76-A4C6-4BE2-B78A-95B17691CD24}"/>
    <hyperlink ref="F31" location="'4. Ficha'!A92" display="4.13" xr:uid="{0E64B748-5DBE-4BB0-A575-4C82FCC3318B}"/>
    <hyperlink ref="E35" location="'5. Gráficas'!A3" display="5.1." xr:uid="{D07750AF-5300-4377-A69F-CE2E1B8100AE}"/>
    <hyperlink ref="E36" location="'5. Gráficas'!J3" display="5.2." xr:uid="{BE4999CB-B835-404E-B5A5-D45EA8A6A888}"/>
    <hyperlink ref="E37" location="'5. Gráficas'!A21" display="5.3." xr:uid="{DBFB5BC6-5776-4D14-9733-E75E5527BEAC}"/>
    <hyperlink ref="E38" location="'5. Gráficas'!J21" display="5.4." xr:uid="{13D74499-1C55-45B9-81B1-5D5F43C1DF1D}"/>
    <hyperlink ref="E39" location="'5. Gráficas'!A40" display="5.5" xr:uid="{E8ABF345-4935-4A94-8FD5-CDE1E84A814E}"/>
    <hyperlink ref="F35" location="'5. Ficha'!A2" display="5.1." xr:uid="{69196E36-47D1-4237-8F45-3D543E01C893}"/>
    <hyperlink ref="F36" location="'5. Ficha'!A9" display="5.2." xr:uid="{9BB0EE17-F405-469E-98BE-AC9733D738DC}"/>
    <hyperlink ref="F37" location="'5. Ficha'!A16" display="5.3." xr:uid="{1B446FEC-57C9-4E0C-A5B8-96B1E38B5DFC}"/>
    <hyperlink ref="F38" location="'5. Ficha'!A24" display="5.4" xr:uid="{F810A4D4-188E-4907-8637-7432C9AEE83E}"/>
    <hyperlink ref="F39" location="'5. Ficha'!A31" display="5.5" xr:uid="{8047B9D8-D19E-4538-9B11-A240C6EF6420}"/>
    <hyperlink ref="F40" location="'5. Ficha'!A46" display="5.7" xr:uid="{C17F223D-A796-41EF-A408-6D53F0945F54}"/>
    <hyperlink ref="E41" location="'6. Gráficas'!A2" display="6.1." xr:uid="{A0F68B84-A924-4E25-8A46-C61EE1239D80}"/>
    <hyperlink ref="E43" location="'6. Gráficas'!B117" display="6.2" xr:uid="{1EE3A3DC-23E4-4C26-9652-40A36CDE6690}"/>
    <hyperlink ref="E44" location="'6. Gráficas'!J117" display="6.3" xr:uid="{6CDC05E2-BE72-4EBE-B201-43784626F736}"/>
    <hyperlink ref="E45" location="'6. Gráficas'!B135" display="6.4" xr:uid="{FE0352D2-01E4-4EBB-A37A-17DFE6F915B2}"/>
    <hyperlink ref="E46" location="'6. Gráficas'!J135" display="6.5" xr:uid="{33425869-9665-4D0F-9075-96017EEA7E8C}"/>
    <hyperlink ref="E47" location="'6. Gráficas'!B153" display="6.6" xr:uid="{81A4FF5C-7E98-4C99-AEA1-2044F3D3CCE1}"/>
    <hyperlink ref="F41" location="'6. Ficha'!A2" display="6.1." xr:uid="{E41CAC0C-C1CE-4CD5-A581-69DF7019ABF0}"/>
    <hyperlink ref="F43" location="'6. Ficha'!A9" display="6.2." xr:uid="{26EFDF67-F4A6-42DA-9C2F-77C69410DFA2}"/>
    <hyperlink ref="F44" location="'6. Ficha'!A16" display="6.3." xr:uid="{718F7E28-9648-46F9-83C8-60FA508A8DC5}"/>
    <hyperlink ref="F45" location="'6. Ficha'!A23" display="6.4." xr:uid="{B0CAC921-37ED-43F9-9FCD-E96587ACC884}"/>
    <hyperlink ref="F46" location="'6. Ficha'!A30" display="6.5." xr:uid="{A0E6B47C-1C20-4BA9-B2FD-C8786124DE0D}"/>
    <hyperlink ref="F47" location="'6. Ficha'!A37" display="6.6." xr:uid="{2C49E563-BE12-49E9-908E-1B7CD0D929ED}"/>
    <hyperlink ref="E48" location="'7. Gráficas'!A3" display="7.1" xr:uid="{9498864C-AF2B-40DF-B3A0-B8AF021CA9E7}"/>
    <hyperlink ref="E49" location="'7. Gráficas'!J3" display="7.2" xr:uid="{9D1FCA5F-C02D-42BC-A095-1BC594A2D7E7}"/>
    <hyperlink ref="E50" location="'7. Gráficas'!A22" display="7.3" xr:uid="{D0668215-3666-4010-B611-D20809D0AC72}"/>
    <hyperlink ref="E51" location="'7. Gráficas'!J23" display="7.4" xr:uid="{04F01B53-46B1-4A57-A367-E19FD5187559}"/>
    <hyperlink ref="E52" location="'7. Gráficas'!H56" display="7.5" xr:uid="{889979BC-6BF3-45E5-A840-55E7E90D6729}"/>
    <hyperlink ref="E53" location="'7. Gráficas'!H78" display="7.6" xr:uid="{5F006053-4B07-4552-A67B-D43F1B658C57}"/>
    <hyperlink ref="E54" location="'7. Gráficas'!A102" display="7.7" xr:uid="{D47C28F3-4E5F-4CFF-B88F-4B49C455A68A}"/>
    <hyperlink ref="E55" location="'7. Gráficas'!I102" display="7.8" xr:uid="{E192AC22-C4F2-4E87-ABF7-4E3EA1087B35}"/>
    <hyperlink ref="E56" location="'7. Gráficas'!A121" display="7.9" xr:uid="{D27DD7AA-C638-4ACF-A3E6-D7D0EECE5F1D}"/>
    <hyperlink ref="E57" location="'7. Gráficas'!J121" display="7.10" xr:uid="{D6E2A588-8DD4-494A-A6DC-14FE1DF33D27}"/>
    <hyperlink ref="E58" location="'7. Gráficas'!A146" display="7.11" xr:uid="{C3E67506-0C1F-457B-B2D4-F13FBE7C9F02}"/>
    <hyperlink ref="E59" location="'7. Gráficas'!H168" display="7.12" xr:uid="{8429CF99-113B-43AA-B960-E03F8580BA84}"/>
    <hyperlink ref="E60" location="'8. Gráficas'!A3" display="8.1" xr:uid="{DE44FA56-519D-4BC7-B9C3-39378232F85F}"/>
    <hyperlink ref="E61" location="'8. Gráficas'!I3" display="8.2" xr:uid="{D734FD34-9625-4ADB-918C-B6E41D0D5C78}"/>
    <hyperlink ref="E62" location="'8. Gráficas'!A21" display="8.3" xr:uid="{21212C60-3B08-41DF-85E2-E0794D200057}"/>
    <hyperlink ref="E63" location="'8. Gráficas'!J21" display="8.4" xr:uid="{8F9EA97E-9E54-46E0-B8C8-A0E84F0E7F89}"/>
    <hyperlink ref="E64" location="'8. Gráficas'!A39" display="8.5" xr:uid="{A1B908F2-4CEA-437B-AB17-D688D2BD5B97}"/>
    <hyperlink ref="E65" location="'8. Gráficas'!J40" display="8.6" xr:uid="{D2EF6F1F-5A74-4B9E-A1D3-68E76B859D8E}"/>
    <hyperlink ref="E66" location="'8. Gráficas'!J70" display="8.8" xr:uid="{A2BEBC8B-AE9D-4E6E-9314-6C43BEE43BFA}"/>
    <hyperlink ref="E67" location="'8. Gráficas'!A79" display="8.9" xr:uid="{B2435217-2FDD-4DD1-A398-3C49CFD4BCF3}"/>
    <hyperlink ref="E68" location="'9. Gráficas'!A3" display="9.1" xr:uid="{5CF8B43C-F281-4224-9ED2-C4382FE69B28}"/>
    <hyperlink ref="E69" location="'9. Gráficas'!A21" display="9.2" xr:uid="{8DD3CF54-2880-4BB7-BAEE-0197D486D862}"/>
    <hyperlink ref="E70" location="'9. Gráficas'!A39" display="9.3" xr:uid="{36C56B4C-3A47-4C9E-93DE-8171816E26DD}"/>
    <hyperlink ref="E71" location="'9. Gráficas'!J39" display="9.4" xr:uid="{4D6D5C73-B8BD-445E-B218-D8D9A4D7A72F}"/>
    <hyperlink ref="E72" location="'9. Gráficas'!A81" display="9.5" xr:uid="{4BAD677D-C083-43AF-9E9F-029BDBA62F06}"/>
    <hyperlink ref="E73" location="'9. Gráficas'!I112" display="9.6" xr:uid="{ADACE5EE-F772-405D-9C4E-D07FDCE815F5}"/>
    <hyperlink ref="E74" location="'9. Gráficas'!A135" display="9.7" xr:uid="{8DE0AAEC-461C-4DA6-B348-2C87C614B183}"/>
    <hyperlink ref="F48" location="'7. Ficha'!A2" display="7.1" xr:uid="{15FF31E9-8464-43CC-A43F-96D556259F9C}"/>
    <hyperlink ref="F49" location="'7. Ficha'!A9" display="7.2" xr:uid="{6B84C8A5-3973-4CB9-BA42-81FB31A63166}"/>
    <hyperlink ref="F50" location="'7. Ficha'!A16" display="7.3" xr:uid="{B7DE70E6-FE7F-49B6-BB99-7E2B960C7F22}"/>
    <hyperlink ref="F51" location="'7. Ficha'!A23" display="7.4" xr:uid="{CB8387E4-6396-47FE-A703-11644A6494D9}"/>
    <hyperlink ref="F52" location="'7. Ficha'!A30" display="7.5" xr:uid="{247D5647-14A2-41C7-931B-364267100BF3}"/>
    <hyperlink ref="F53" location="'7. Ficha'!A38" display="7.6" xr:uid="{A798134C-404F-481D-A4E2-F3367CCB80EB}"/>
    <hyperlink ref="F54" location="'7. Ficha'!A45" display="7.7" xr:uid="{29545B33-D8FE-4001-8B10-126D78876689}"/>
    <hyperlink ref="F55" location="'7. Ficha'!A53" display="7.8" xr:uid="{670956BD-7A3A-42EA-B9C7-C179806AC01A}"/>
    <hyperlink ref="F56" location="'7. Ficha'!A61" display="7.9" xr:uid="{64EE9DD6-939F-4AC5-A238-E0F11769F55C}"/>
    <hyperlink ref="F57" location="'7. Ficha'!A68" display="7.10" xr:uid="{8C94B3ED-D321-4060-9158-C6C29B8B754B}"/>
    <hyperlink ref="F58" location="'7. Ficha'!A75" display="7.11" xr:uid="{6B0DC37B-5951-4AB0-8D67-5F31E8C9C5B3}"/>
    <hyperlink ref="F59" location="'7. Ficha'!A83" display="7.12" xr:uid="{480739BE-54D0-497E-9D6F-3E4D009C0C1F}"/>
    <hyperlink ref="F60" location="'8. Ficha'!A2" display="8.1" xr:uid="{73FCF1C3-4806-4E2C-A4BB-940FE26AF9C5}"/>
    <hyperlink ref="F61" location="'8. Ficha'!A9" display="8.2" xr:uid="{D194567D-349C-4973-B661-31601456437B}"/>
    <hyperlink ref="F62" location="'8. Ficha'!A16" display="8.3" xr:uid="{A8509A91-9301-448E-9214-E39414BB5364}"/>
    <hyperlink ref="F63" location="'8. Ficha'!A24" display="8.4" xr:uid="{68A5136F-D16B-48C1-B507-3D63409DEAAF}"/>
    <hyperlink ref="F64" location="'8. Ficha'!A32" display="8.5" xr:uid="{97F1340F-C698-4DF2-81E9-85A7C7675E2A}"/>
    <hyperlink ref="F65" location="'8. Ficha'!A40" display="8.6" xr:uid="{FA661317-2DBD-4532-867C-B00537EF91A4}"/>
    <hyperlink ref="F66" location="'8. Ficha'!A54" display="8.8" xr:uid="{86EF6577-DCAC-4B6D-AD7E-97240B9BA50C}"/>
    <hyperlink ref="F67" location="'8. Ficha'!A61" display="8.9" xr:uid="{0CD625B8-CECB-43B5-BE78-CC3E9B674A33}"/>
    <hyperlink ref="F68" location="'9. Ficha'!A2" display="9.1" xr:uid="{9DE519A0-E41E-48D1-8C2D-7C2CC35D69E8}"/>
    <hyperlink ref="F69" location="'9. Ficha'!A10" display="9.2" xr:uid="{2284C5F4-F7A3-434E-9F0E-0064381EA710}"/>
    <hyperlink ref="F70" location="'9. Ficha'!A18" display="9.3" xr:uid="{D3D4C2B1-ADE5-4321-9139-4A72BD7207E9}"/>
    <hyperlink ref="F71" location="'9. Ficha'!A25" display="9.4" xr:uid="{6EA3FC6C-CFA9-4D96-96BC-06D29F7FC3F5}"/>
    <hyperlink ref="F72" location="'9. Ficha'!A32" display="9.5" xr:uid="{D9E7D67A-7B8C-4E05-AF2D-C22789E50440}"/>
    <hyperlink ref="F73" location="'9. Ficha'!A39" display="9.6" xr:uid="{9259E0AD-6C39-4D42-BF26-0BFE0087DFE3}"/>
    <hyperlink ref="F74" location="'9. Ficha'!A46" display="9.7" xr:uid="{A1CB93CD-56F4-4ADE-B2AC-9F70EAF75F56}"/>
    <hyperlink ref="E5" location="'1. Gráficas'!A3" display="1.1." xr:uid="{76E19E12-726A-41FC-A144-2F1255FE4698}"/>
    <hyperlink ref="D5" location="'1.SITUACIÓN GLOBAL'!A3" display="Índice de desigualdad de género" xr:uid="{BA957944-6FBB-44C2-9A7D-51E494089962}"/>
    <hyperlink ref="D6" location="'1.SITUACIÓN GLOBAL'!A5" display="Índice de desigualdad de género por ámbitos" xr:uid="{086C77F5-EDA0-4FF7-BCC4-E9C4D8E3F3DA}"/>
    <hyperlink ref="D7" location="'1.SITUACIÓN GLOBAL'!A11" display="Percepción de la desigualdad de oportunidades entre mujeres y hombres en la ciudad de Madrid" xr:uid="{7E0D480F-001D-4D8A-92B1-C79753032C11}"/>
    <hyperlink ref="D8" location="'2. POBLACIÓN Y HOGARES'!B3" display="Población total de mujeres y hombres" xr:uid="{C1BF9E8D-9B1C-4608-B13F-34ACA9CD2A92}"/>
    <hyperlink ref="D9" location="'2. POBLACIÓN Y HOGARES'!B9" display="Población por grandes grupos de edad: principales indicadores" xr:uid="{BE8A6854-BD62-4985-866A-61DCF1925FA9}"/>
    <hyperlink ref="D10" location="'2. POBLACIÓN Y HOGARES'!B38" display="Población extranjera" xr:uid="{F6A43069-EA98-4604-BC28-E04D80A6BEF1}"/>
    <hyperlink ref="D11" location="'2. POBLACIÓN Y HOGARES'!B44" display="Hogares unipersonales (65 y + años) " xr:uid="{D479C2B6-5217-4AFD-A39A-00FA09685C4F}"/>
    <hyperlink ref="D12" location="'2. POBLACIÓN Y HOGARES'!B50" display="Hogares monoparentales y monomarentales" xr:uid="{12C57553-FD82-4DE8-8E6D-8F24ACB2373D}"/>
    <hyperlink ref="D13" location="'3. EMPLEO Y ACTIVIDAD ECONÓMICA'!A3" display="Tasa de actividad de 16 a 64 años " xr:uid="{7E750FF8-0B16-4842-B962-4A221655B338}"/>
    <hyperlink ref="D14" location="'3. EMPLEO Y ACTIVIDAD ECONÓMICA'!A8" display="Tasa de empleo de 16 a 64 años" xr:uid="{A19CF779-5F0B-4443-998E-3032928494D9}"/>
    <hyperlink ref="D15" location="'3. EMPLEO Y ACTIVIDAD ECONÓMICA'!A13" display="Tasa de paro de 16 a 64 años" xr:uid="{3F1D4D17-8EC2-495D-A9F8-A47D41F88AE1}"/>
    <hyperlink ref="D16" location="'3. EMPLEO Y ACTIVIDAD ECONÓMICA'!A19" display="Población ocupada según tipo de ocupación" xr:uid="{C57ED7F3-DD3B-4E29-A384-9341873EF1C4}"/>
    <hyperlink ref="D17" location="'3. EMPLEO Y ACTIVIDAD ECONÓMICA'!A273" display="Tasa de contratos a tiempo parcial" xr:uid="{735B8AD7-3410-4550-9317-C4A09947C269}"/>
    <hyperlink ref="D18" location="'3. EMPLEO Y ACTIVIDAD ECONÓMICA'!A284" display="Porcentaje de personas ocupadas en puestos no cualificados " xr:uid="{58FC7260-4745-4DBE-B4CA-960D25EB1A7B}"/>
    <hyperlink ref="D19" location="'3. EMPLEO Y ACTIVIDAD ECONÓMICA'!A289" display="Paro registrado" xr:uid="{94CB2E24-3BB6-4AAE-8286-C05F125D0CF8}"/>
    <hyperlink ref="D20" location="'3. EMPLEO Y ACTIVIDAD ECONÓMICA'!A295" display="Personas afiliadas en el sistema especial de &quot;Empleados de hogar&quot;" xr:uid="{3C31C884-E342-4A44-80AD-39F13D9AB884}"/>
    <hyperlink ref="D21" location="'3. EMPLEO Y ACTIVIDAD ECONÓMICA'!A301" display="Personas inscritas en la Agencia para el Empleo" xr:uid="{7A2477F6-49A9-45DE-8A8D-4592D713193D}"/>
    <hyperlink ref="D22" location="'4. RENTA, PROT, POBREZA Y VIV'!B3" display="Salario bruto medio por hora (€)" xr:uid="{BA4E1467-10FD-439C-8F63-790A19263C22}"/>
    <hyperlink ref="D23" location="'4. RENTA, PROT, POBREZA Y VIV'!B9" display="Importe medio mensual de pensiones contributivas (€)" xr:uid="{56811328-CB71-4BB5-8141-ADD2A178141B}"/>
    <hyperlink ref="D24" location="'4. RENTA, PROT, POBREZA Y VIV'!B15" display="Tasa de riesgo de pobreza o exclusión social (Indicador AROPE)" xr:uid="{5C08F74C-A9CC-4CFA-A16B-3BA02BB591D3}"/>
    <hyperlink ref="D25" location="'4. RENTA, PROT, POBREZA Y VIV'!B20" display="Tasa de riesgo de pobreza " xr:uid="{4FEDA678-963B-423B-8DE9-86D38300A22D}"/>
    <hyperlink ref="D26" location="'4. RENTA, PROT, POBREZA Y VIV'!B25" display="Población con dificultad o mucha dificultad para llegar a final de mes (%) " xr:uid="{9A65D543-34C2-4120-A2E6-FFE1000FE679}"/>
    <hyperlink ref="D27" location="'4. RENTA, PROT, POBREZA Y VIV'!B30" display="Tasa de riesgo de pobreza del total de hogares y de los hogares monoparentales/monomarentales " xr:uid="{15B3DE5C-895A-4F97-ABAF-AB6B70B3E2D4}"/>
    <hyperlink ref="D28" location="'4. RENTA, PROT, POBREZA Y VIV'!B34" display="Población parada que percibe prestación por desempleo (%) " xr:uid="{15DA319A-D990-4674-A931-C7D43E07580E}"/>
    <hyperlink ref="D29" location="'4. RENTA, PROT, POBREZA Y VIV'!B39" display="Titulares de la Renta Mínima Inserción" xr:uid="{937BF468-8118-4A6C-A39A-FED4CD31ECE4}"/>
    <hyperlink ref="D30" location="'4. RENTA, PROT, POBREZA Y VIV'!B50" display="Personas beneficiarias del Ingreso Mínimo Vital (N)" xr:uid="{25866078-070C-4F3E-B433-A9852AE85D05}"/>
    <hyperlink ref="D32" location="'4. RENTA, PROT, POBREZA Y VIV'!B56" display="Hogares con vivienda en propiedad según sexo de la persona responsable del hogar" xr:uid="{E4D751DB-A3EF-4EEA-BC3D-CD34C55D6FCE}"/>
    <hyperlink ref="D33" location="'4. RENTA, PROT, POBREZA Y VIV'!B61" display="Población que no puede permitirse mantener la vivienda con una temperatura adecuada " xr:uid="{D4397B23-11FC-442F-A05D-4259FBD9B8D8}"/>
    <hyperlink ref="D34" location="'4. RENTA, PROT, POBREZA Y VIV'!B66" display="Población que ha tenido retrasos en pago de gastos relacionados con la vivienda en los últimos 12 meses (%)" xr:uid="{C16D814E-66A3-4612-BFBA-0F5C24B1AD85}"/>
    <hyperlink ref="D31" location="'4. RENTA, PROT, POBREZA Y VIV'!B71" display="Personas atendidas en Atención Social Primaria de Centros de Servicios Sociales" xr:uid="{C8658F94-ADB0-4261-9B9C-AD0BC7B2363D}"/>
    <hyperlink ref="D35" location="'5. SALUD'!A3" display="Esperanza de vida al nacer " xr:uid="{17660C96-AE04-408B-AA83-D58E93BFF839}"/>
    <hyperlink ref="D36" location="'5. SALUD'!A8" display="Esperanza de vida en buena salud " xr:uid="{731BC9C2-15F3-4970-AE86-55F8586218A6}"/>
    <hyperlink ref="D37" location="'5. SALUD'!A13" display="Estado de salud percibida " xr:uid="{3E69ECBF-2B96-4F29-BC3C-C6B41116EDDD}"/>
    <hyperlink ref="D38" location="'5. SALUD'!A18" display="Población que padece algún problema crónico de salud" xr:uid="{108E9AB8-CFB4-409C-B7E5-C5CB30694991}"/>
    <hyperlink ref="D39" location="'5. SALUD'!A23" display="Población con riesgo de mala salud mental " xr:uid="{CE7DB86E-4EAB-4FF1-8196-BD866E17448F}"/>
    <hyperlink ref="D40" location="'5. SALUD'!A33" display="Personas con discapacidad reconocida" xr:uid="{DE13D547-80AE-4EFB-99B0-239644D09004}"/>
    <hyperlink ref="D41" location="'6. CUIDADOS'!B3" display="Tiempo dedicado al hogar y la familia en un día (horas y minutos)" xr:uid="{D08F1361-81A9-47EB-A040-2D39662DCB5E}"/>
    <hyperlink ref="D43" location="'6. CUIDADOS'!B37" display="Porcentaje de la población ocupada a tiempo parcial por cuidado de niños/as, adultos/as enfermos/as, incapacitados/as o mayores " xr:uid="{231A0894-84DD-4102-BC03-EC7079BC493A}"/>
    <hyperlink ref="D44" location="'6. CUIDADOS'!B37" display="Porcentaje de la población inactiva cuya situación de inactividad es &quot;labores del hogar&quot;" xr:uid="{D1C505BA-DD15-4DE7-B25B-750137AA055F}"/>
    <hyperlink ref="D45" location="'6. CUIDADOS'!B47" display="Excedencias por cuidado de hijos (as) " xr:uid="{073656AA-25F9-44FE-BD23-9A912090021C}"/>
    <hyperlink ref="D46" location="'6. CUIDADOS'!B52" display="Excedencias por cuidado de familiares " xr:uid="{EB638DE8-7664-4DB7-B866-1F4FC6E61C21}"/>
    <hyperlink ref="D47" location="'6. CUIDADOS'!B57" display="Población escolarizada en educación infantil de primero y segundo ciclo" xr:uid="{7CB9BB28-669F-49AA-93D5-A8C705934166}"/>
    <hyperlink ref="D48" location="'7. EDUC, CIEN, CULT Y DEP'!B3" display="Alumnado matriculado en bachillerato en bachillerato de ciencias y tecnología" xr:uid="{6593827E-F558-4BC0-80EF-28C9E9A09E8A}"/>
    <hyperlink ref="D49" location="'7. EDUC, CIEN, CULT Y DEP'!B14" display="Alumnado matriculado en formación profesional de grado medio por familias profesionales" xr:uid="{ACC4FD97-69D0-45FA-9D52-F390FA19DE80}"/>
    <hyperlink ref="D50" location="'7. EDUC, CIEN, CULT Y DEP'!B120" display="Alumnado matriculado en formación profesional de grado superior por familias profesionales" xr:uid="{F1826298-292E-43BB-A83D-1A5EC7873929}"/>
    <hyperlink ref="D51" location="'7. EDUC, CIEN, CULT Y DEP'!B198" display="Alumnado matriculado en grados universitarios relacionados con las ramas STEM" xr:uid="{7C425AB3-39B6-4592-A88B-F2D53F302CED}"/>
    <hyperlink ref="D52" location="'7. EDUC, CIEN, CULT Y DEP'!B209" display="Personal en I+D en todos los sectores de ejecución" xr:uid="{BE68A030-20F3-4D4C-83C1-EAEB84E062A4}"/>
    <hyperlink ref="D53" location="'7. EDUC, CIEN, CULT Y DEP'!B230" display="Personal de investigación en las universidades madrileñas" xr:uid="{BDDDFFC3-D72F-4017-8870-899634956407}"/>
    <hyperlink ref="D54" location="'7. EDUC, CIEN, CULT Y DEP'!B242" display="Empleo cultural" xr:uid="{82CFF726-32E4-4978-B331-345DE35E79E3}"/>
    <hyperlink ref="D55" location="'7. EDUC, CIEN, CULT Y DEP'!B247" display="Distinciones honoríficas otorgadas por el Ayuntamiento de Madrid" xr:uid="{C2922784-C637-461D-B5C4-2CACC9ED04D0}"/>
    <hyperlink ref="D56" location="'7. EDUC, CIEN, CULT Y DEP'!B252" display="Licencias federadas" xr:uid="{9153F1F5-8C41-494F-A94F-11F2E43A35D1}"/>
    <hyperlink ref="D57" location="'7. EDUC, CIEN, CULT Y DEP'!B260" display="Personas abonadas en centros deportivos municipales" xr:uid="{42A90D83-02BA-4158-853B-D10FE7D86B2B}"/>
    <hyperlink ref="D58" location="'7. EDUC, CIEN, CULT Y DEP'!B265" display="Participantes en escuelas de promoción deportiva" xr:uid="{A97C2AE4-78E5-4ED4-89A6-A85295BC3D3A}"/>
    <hyperlink ref="D59" location="'7. EDUC, CIEN, CULT Y DEP'!B273" display="Participantes en Juegos Deportivos Municipales colectivos e individuales" xr:uid="{CEB010FC-63AB-4604-A186-ACB57EB89331}"/>
    <hyperlink ref="D60" location="'8. PODER Y PARTICIPACIÓN'!B3" display="Representación femenina en las Concejalías del Ayuntamiento de Madrid" xr:uid="{876425A2-BEAB-4F9A-86E6-B0BA67366036}"/>
    <hyperlink ref="D61" location="'8. PODER Y PARTICIPACIÓN'!B8" display="Porcentaje de rectoras en las universidades públicas y privadas madrileñas" xr:uid="{77020602-63CB-4DFF-9150-DF213CE6D228}"/>
    <hyperlink ref="D62" location="'8. PODER Y PARTICIPACIÓN'!B21" display="Porcentaje de población ocupada en puestos de dirección o gerencia" xr:uid="{10BA88B6-B530-4FE9-99DB-B81308705D4C}"/>
    <hyperlink ref="D63" location="'8. PODER Y PARTICIPACIÓN'!B26" display="Población de la ciudad de Madrid que pertenece a alguna asociación o entidad" xr:uid="{4AD98802-195C-4522-9ABE-825C7B85C510}"/>
    <hyperlink ref="D64" location="'8. PODER Y PARTICIPACIÓN'!B31" display="Población de la ciudad de Madrid que tiene interés en participar en asuntos municipales " xr:uid="{23748FAB-F24D-46CA-B6CE-59C6A0D23391}"/>
    <hyperlink ref="D65" location="'8. PODER Y PARTICIPACIÓN'!B36" display="Personas inscritas en el Cuerpo de Voluntarios y Voluntarias del Ayuntamiento de Madrid" xr:uid="{D33455BE-6F52-41A3-BA3B-8D3BC8260253}"/>
    <hyperlink ref="D66" location="'8. PODER Y PARTICIPACIÓN'!B46" display="Ratio de asociaciones de mujeres" xr:uid="{676C796A-0E1D-4E0C-9AFC-23295CAD6B07}"/>
    <hyperlink ref="D67" location="'8. PODER Y PARTICIPACIÓN'!B50" display="Solicitudes de acceso a la información pública" xr:uid="{B3772FF9-6318-461A-881E-CF768797ED4D}"/>
    <hyperlink ref="D68" location="'9. SEGURIDAD Y MOVILIDAD'!B3" display="Percepción de seguridad en el barrio por el día" xr:uid="{0AF0AA5F-4957-49B9-B4E5-C891C1F7FB44}"/>
    <hyperlink ref="D69" location="'9. SEGURIDAD Y MOVILIDAD'!B16" display="Percepción de seguridad en el barrio por la noche" xr:uid="{C7DE0222-86B6-4964-A85F-5FF9A4235F54}"/>
    <hyperlink ref="D70" location="'9. SEGURIDAD Y MOVILIDAD'!B29" display="Porcentaje de personas que han sido víctimas de un robo, atraco o agresión en la ciudad de Madrid en el último año" xr:uid="{AAEB5953-AC8D-4513-97D0-FE52224DD2FF}"/>
    <hyperlink ref="D71" location="'9. SEGURIDAD Y MOVILIDAD'!B34" display="Personas adultas que han sido condenadas por sentencia firme" xr:uid="{A87DCCE0-C48E-4B6D-A7FD-055324427F3A}"/>
    <hyperlink ref="D72" location="'9. SEGURIDAD Y MOVILIDAD'!B39" display="Medios habituales de transporte utilizados para desplazamientos cotidianos" xr:uid="{A23A21CE-A096-4E82-B9D0-B321353B7719}"/>
    <hyperlink ref="D73" location="'9. SEGURIDAD Y MOVILIDAD'!B55" display="Personas implicadas en accidentes de tráfico en la ciudad de Madrid" xr:uid="{4E7B89A3-AC74-44FA-AF2C-5159744ABCC0}"/>
    <hyperlink ref="D74" location="'9. SEGURIDAD Y MOVILIDAD'!B63" display="Personas que tienen la Tarjeta de Identificación de Conductor/a y pueden ejercer la profesión de conductor/a de vehículo autotaxi" xr:uid="{8FE464F1-8ADE-4044-8779-2AD8D3D016B5}"/>
    <hyperlink ref="E40" location="'5. Gráficas'!B85" display="5.7" xr:uid="{305E3778-AAF0-4522-AE5E-C920FE1CD773}"/>
    <hyperlink ref="D42" location="'6. CUIDADOS'!A1" display="Grado de participación en cuidados a menores o personas dependientes dentro del hogar " xr:uid="{B50B1B73-A94E-4788-85E0-68EA6AE35E4C}"/>
  </hyperlink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7156-9FCF-481C-81A8-90588768F0E9}">
  <sheetPr>
    <tabColor theme="4" tint="0.59999389629810485"/>
  </sheetPr>
  <dimension ref="A1:D66"/>
  <sheetViews>
    <sheetView showGridLines="0" topLeftCell="A6" zoomScale="90" zoomScaleNormal="90" workbookViewId="0">
      <selection activeCell="B17" sqref="B17"/>
    </sheetView>
  </sheetViews>
  <sheetFormatPr baseColWidth="10" defaultColWidth="11.453125" defaultRowHeight="14.5"/>
  <cols>
    <col min="1" max="1" width="20.54296875" customWidth="1"/>
    <col min="2" max="2" width="133.26953125" style="398" customWidth="1"/>
  </cols>
  <sheetData>
    <row r="1" spans="1:4" ht="32" thickTop="1" thickBot="1">
      <c r="A1" s="290" t="s">
        <v>334</v>
      </c>
      <c r="B1" s="300"/>
      <c r="D1" s="136" t="s">
        <v>245</v>
      </c>
    </row>
    <row r="2" spans="1:4" ht="15.5">
      <c r="A2" s="292" t="s">
        <v>335</v>
      </c>
      <c r="B2" s="462"/>
    </row>
    <row r="3" spans="1:4" ht="18.75" customHeight="1">
      <c r="A3" s="23" t="s">
        <v>263</v>
      </c>
      <c r="B3" s="463" t="s">
        <v>915</v>
      </c>
    </row>
    <row r="4" spans="1:4" ht="43.5">
      <c r="A4" s="23" t="s">
        <v>265</v>
      </c>
      <c r="B4" s="29" t="s">
        <v>426</v>
      </c>
    </row>
    <row r="5" spans="1:4">
      <c r="A5" s="23" t="s">
        <v>324</v>
      </c>
      <c r="B5" s="464" t="s">
        <v>427</v>
      </c>
    </row>
    <row r="6" spans="1:4">
      <c r="A6" s="403" t="s">
        <v>269</v>
      </c>
      <c r="B6" s="301" t="s">
        <v>428</v>
      </c>
    </row>
    <row r="7" spans="1:4" ht="29">
      <c r="A7" s="23" t="s">
        <v>271</v>
      </c>
      <c r="B7" s="302" t="s">
        <v>429</v>
      </c>
    </row>
    <row r="8" spans="1:4">
      <c r="A8" s="23" t="s">
        <v>273</v>
      </c>
      <c r="B8" s="29" t="s">
        <v>430</v>
      </c>
    </row>
    <row r="9" spans="1:4" ht="15.5">
      <c r="A9" s="26" t="s">
        <v>340</v>
      </c>
      <c r="B9" s="465"/>
    </row>
    <row r="10" spans="1:4">
      <c r="A10" s="23" t="s">
        <v>263</v>
      </c>
      <c r="B10" s="463" t="s">
        <v>916</v>
      </c>
    </row>
    <row r="11" spans="1:4" ht="43.5">
      <c r="A11" s="23" t="s">
        <v>265</v>
      </c>
      <c r="B11" s="29" t="s">
        <v>431</v>
      </c>
    </row>
    <row r="12" spans="1:4">
      <c r="A12" s="23" t="s">
        <v>324</v>
      </c>
      <c r="B12" s="464" t="s">
        <v>432</v>
      </c>
    </row>
    <row r="13" spans="1:4">
      <c r="A13" s="23" t="s">
        <v>269</v>
      </c>
      <c r="B13" s="301" t="s">
        <v>428</v>
      </c>
    </row>
    <row r="14" spans="1:4" ht="29">
      <c r="A14" s="23" t="s">
        <v>271</v>
      </c>
      <c r="B14" s="302" t="s">
        <v>429</v>
      </c>
    </row>
    <row r="15" spans="1:4">
      <c r="A15" s="23" t="s">
        <v>273</v>
      </c>
      <c r="B15" s="29" t="s">
        <v>433</v>
      </c>
    </row>
    <row r="16" spans="1:4" ht="15.5">
      <c r="A16" s="26" t="s">
        <v>341</v>
      </c>
      <c r="B16" s="465"/>
    </row>
    <row r="17" spans="1:2">
      <c r="A17" s="23" t="s">
        <v>263</v>
      </c>
      <c r="B17" s="463" t="s">
        <v>917</v>
      </c>
    </row>
    <row r="18" spans="1:2" ht="29">
      <c r="A18" s="23" t="s">
        <v>265</v>
      </c>
      <c r="B18" s="29" t="s">
        <v>434</v>
      </c>
    </row>
    <row r="19" spans="1:2">
      <c r="A19" s="23" t="s">
        <v>324</v>
      </c>
      <c r="B19" s="464" t="s">
        <v>432</v>
      </c>
    </row>
    <row r="20" spans="1:2">
      <c r="A20" s="23" t="s">
        <v>269</v>
      </c>
      <c r="B20" s="301" t="s">
        <v>428</v>
      </c>
    </row>
    <row r="21" spans="1:2">
      <c r="A21" s="23" t="s">
        <v>271</v>
      </c>
      <c r="B21" s="302" t="s">
        <v>435</v>
      </c>
    </row>
    <row r="22" spans="1:2">
      <c r="A22" s="23" t="s">
        <v>273</v>
      </c>
      <c r="B22" s="29" t="s">
        <v>436</v>
      </c>
    </row>
    <row r="23" spans="1:2" ht="15.5">
      <c r="A23" s="26" t="s">
        <v>342</v>
      </c>
      <c r="B23" s="465"/>
    </row>
    <row r="24" spans="1:2" ht="58">
      <c r="A24" s="23" t="s">
        <v>263</v>
      </c>
      <c r="B24" s="29" t="s">
        <v>437</v>
      </c>
    </row>
    <row r="25" spans="1:2" ht="72.5">
      <c r="A25" s="23" t="s">
        <v>265</v>
      </c>
      <c r="B25" s="29" t="s">
        <v>438</v>
      </c>
    </row>
    <row r="26" spans="1:2">
      <c r="A26" s="23" t="s">
        <v>324</v>
      </c>
      <c r="B26" s="463" t="s">
        <v>432</v>
      </c>
    </row>
    <row r="27" spans="1:2">
      <c r="A27" s="23" t="s">
        <v>269</v>
      </c>
      <c r="B27" s="896" t="s">
        <v>439</v>
      </c>
    </row>
    <row r="28" spans="1:2" ht="29">
      <c r="A28" s="23" t="s">
        <v>271</v>
      </c>
      <c r="B28" s="29" t="s">
        <v>440</v>
      </c>
    </row>
    <row r="29" spans="1:2">
      <c r="A29" s="23" t="s">
        <v>273</v>
      </c>
      <c r="B29" s="29" t="s">
        <v>441</v>
      </c>
    </row>
    <row r="30" spans="1:2" ht="15.5">
      <c r="A30" s="26" t="s">
        <v>414</v>
      </c>
      <c r="B30" s="465"/>
    </row>
    <row r="31" spans="1:2">
      <c r="A31" s="23" t="s">
        <v>263</v>
      </c>
      <c r="B31" s="463" t="s">
        <v>442</v>
      </c>
    </row>
    <row r="32" spans="1:2" ht="43.5">
      <c r="A32" s="23" t="s">
        <v>265</v>
      </c>
      <c r="B32" s="29" t="s">
        <v>443</v>
      </c>
    </row>
    <row r="33" spans="1:2">
      <c r="A33" s="23" t="s">
        <v>324</v>
      </c>
      <c r="B33" s="463" t="s">
        <v>432</v>
      </c>
    </row>
    <row r="34" spans="1:2">
      <c r="A34" s="23" t="s">
        <v>269</v>
      </c>
      <c r="B34" s="466" t="s">
        <v>428</v>
      </c>
    </row>
    <row r="35" spans="1:2" ht="29">
      <c r="A35" s="23" t="s">
        <v>271</v>
      </c>
      <c r="B35" s="302" t="s">
        <v>429</v>
      </c>
    </row>
    <row r="36" spans="1:2">
      <c r="A36" s="23" t="s">
        <v>273</v>
      </c>
      <c r="B36" s="29" t="s">
        <v>430</v>
      </c>
    </row>
    <row r="37" spans="1:2" ht="15.5">
      <c r="A37" s="26" t="s">
        <v>444</v>
      </c>
      <c r="B37" s="467"/>
    </row>
    <row r="38" spans="1:2" ht="29">
      <c r="A38" s="23" t="s">
        <v>263</v>
      </c>
      <c r="B38" s="29" t="s">
        <v>445</v>
      </c>
    </row>
    <row r="39" spans="1:2" ht="43.5">
      <c r="A39" s="23" t="s">
        <v>265</v>
      </c>
      <c r="B39" s="29" t="s">
        <v>446</v>
      </c>
    </row>
    <row r="40" spans="1:2">
      <c r="A40" s="23" t="s">
        <v>324</v>
      </c>
      <c r="B40" s="463" t="s">
        <v>432</v>
      </c>
    </row>
    <row r="41" spans="1:2">
      <c r="A41" s="23" t="s">
        <v>269</v>
      </c>
      <c r="B41" s="466" t="s">
        <v>428</v>
      </c>
    </row>
    <row r="42" spans="1:2">
      <c r="A42" s="23" t="s">
        <v>271</v>
      </c>
      <c r="B42" s="302" t="s">
        <v>435</v>
      </c>
    </row>
    <row r="43" spans="1:2">
      <c r="A43" s="23" t="s">
        <v>273</v>
      </c>
      <c r="B43" s="29" t="s">
        <v>430</v>
      </c>
    </row>
    <row r="44" spans="1:2" ht="15.5">
      <c r="A44" s="1273" t="s">
        <v>447</v>
      </c>
      <c r="B44" s="1273"/>
    </row>
    <row r="45" spans="1:2">
      <c r="A45" s="23" t="s">
        <v>263</v>
      </c>
      <c r="B45" s="463" t="s">
        <v>448</v>
      </c>
    </row>
    <row r="46" spans="1:2" ht="58">
      <c r="A46" s="23" t="s">
        <v>265</v>
      </c>
      <c r="B46" s="29" t="s">
        <v>449</v>
      </c>
    </row>
    <row r="47" spans="1:2">
      <c r="A47" s="23" t="s">
        <v>324</v>
      </c>
      <c r="B47" s="463" t="s">
        <v>432</v>
      </c>
    </row>
    <row r="48" spans="1:2" ht="43.5">
      <c r="A48" s="23" t="s">
        <v>282</v>
      </c>
      <c r="B48" s="675" t="s">
        <v>450</v>
      </c>
    </row>
    <row r="49" spans="1:2" ht="29">
      <c r="A49" s="23" t="s">
        <v>269</v>
      </c>
      <c r="B49" s="303" t="s">
        <v>451</v>
      </c>
    </row>
    <row r="50" spans="1:2" ht="29">
      <c r="A50" s="23" t="s">
        <v>271</v>
      </c>
      <c r="B50" s="29" t="s">
        <v>452</v>
      </c>
    </row>
    <row r="51" spans="1:2">
      <c r="A51" s="23" t="s">
        <v>273</v>
      </c>
      <c r="B51" s="29" t="s">
        <v>441</v>
      </c>
    </row>
    <row r="52" spans="1:2" ht="15.5">
      <c r="A52" s="26" t="s">
        <v>453</v>
      </c>
      <c r="B52" s="467"/>
    </row>
    <row r="53" spans="1:2">
      <c r="A53" s="23" t="s">
        <v>263</v>
      </c>
      <c r="B53" s="463" t="s">
        <v>454</v>
      </c>
    </row>
    <row r="54" spans="1:2" ht="58">
      <c r="A54" s="23" t="s">
        <v>265</v>
      </c>
      <c r="B54" s="468" t="s">
        <v>455</v>
      </c>
    </row>
    <row r="55" spans="1:2">
      <c r="A55" s="23" t="s">
        <v>324</v>
      </c>
      <c r="B55" s="463" t="s">
        <v>432</v>
      </c>
    </row>
    <row r="56" spans="1:2" ht="29">
      <c r="A56" s="1274" t="s">
        <v>269</v>
      </c>
      <c r="B56" s="303" t="s">
        <v>456</v>
      </c>
    </row>
    <row r="57" spans="1:2">
      <c r="A57" s="1275"/>
      <c r="B57" s="466" t="s">
        <v>457</v>
      </c>
    </row>
    <row r="58" spans="1:2">
      <c r="A58" s="23" t="s">
        <v>271</v>
      </c>
      <c r="B58" s="29" t="s">
        <v>458</v>
      </c>
    </row>
    <row r="59" spans="1:2">
      <c r="A59" s="23" t="s">
        <v>273</v>
      </c>
      <c r="B59" s="29" t="s">
        <v>430</v>
      </c>
    </row>
    <row r="60" spans="1:2" ht="15.5">
      <c r="A60" s="26" t="s">
        <v>424</v>
      </c>
      <c r="B60" s="467"/>
    </row>
    <row r="61" spans="1:2">
      <c r="A61" s="23" t="s">
        <v>263</v>
      </c>
      <c r="B61" s="463" t="s">
        <v>459</v>
      </c>
    </row>
    <row r="62" spans="1:2" ht="58">
      <c r="A62" s="23" t="s">
        <v>265</v>
      </c>
      <c r="B62" s="29" t="s">
        <v>460</v>
      </c>
    </row>
    <row r="63" spans="1:2">
      <c r="A63" s="23" t="s">
        <v>324</v>
      </c>
      <c r="B63" s="463" t="s">
        <v>432</v>
      </c>
    </row>
    <row r="64" spans="1:2">
      <c r="A64" s="23" t="s">
        <v>269</v>
      </c>
      <c r="B64" s="303" t="s">
        <v>461</v>
      </c>
    </row>
    <row r="65" spans="1:2">
      <c r="A65" s="23" t="s">
        <v>271</v>
      </c>
      <c r="B65" s="29" t="s">
        <v>462</v>
      </c>
    </row>
    <row r="66" spans="1:2">
      <c r="A66" s="23" t="s">
        <v>273</v>
      </c>
      <c r="B66" s="29" t="s">
        <v>441</v>
      </c>
    </row>
  </sheetData>
  <mergeCells count="2">
    <mergeCell ref="A44:B44"/>
    <mergeCell ref="A56:A57"/>
  </mergeCells>
  <hyperlinks>
    <hyperlink ref="D1" location="INDICE!A11" display="SIGEM" xr:uid="{5787E513-19B5-4735-A7E4-1E4B96D4CC77}"/>
    <hyperlink ref="B27" r:id="rId1" display="Elaboración propia a partir de INE, Censo de Población y Viviendas 2011, 2021. " xr:uid="{002B38B5-CF27-428F-92FF-90D1497347C6}"/>
    <hyperlink ref="B34" r:id="rId2" xr:uid="{C3AC2662-D433-475E-BE4C-A67D8F56D8A0}"/>
    <hyperlink ref="B49" r:id="rId3" display="Servicio Público de Empleo Estatal (SEPE).  Elaboración Subdireción General de Estadística del Ayuntamiento de Madrid." xr:uid="{77C6245B-030F-4188-8A15-4954C76467F7}"/>
    <hyperlink ref="B64" r:id="rId4" display="Agencia para el Empleo. Perfiles de personas inscrita. Conjunto de datos disponible en Portal de datos abiertos del Ayuntamiento de Madrid. Nota: para los datos del año 2023, fichero recoge información entre 01/01/2023 y 31/05/2023." xr:uid="{B415F406-F2A9-4A44-A73D-846FE2AF448E}"/>
    <hyperlink ref="B57" r:id="rId5" display="Estadística de afiliación de trabajadores a la Seguridad Social. Ministerio de Inclusión, Seguridad Social y Migraciones" xr:uid="{7F34FDAF-9816-4DF0-B9E2-18FF14FF23DE}"/>
    <hyperlink ref="B6" r:id="rId6" xr:uid="{1D39FEB8-7157-4728-811E-2916EA555BB5}"/>
    <hyperlink ref="B56" r:id="rId7" xr:uid="{9671AC83-D79F-4FC4-8C48-B84418FE97FD}"/>
    <hyperlink ref="B13" r:id="rId8" display="https://www.madrid.es/portales/munimadrid/es/Inicio/El-Ayuntamiento/Estadistica/Areas-de-informacion-estadistica/Mercado-de-trabajo/Encuesta-de-Poblacion-Activa-EPA-/Indicadores-de-la-Poblacion-de-16-a-64-anos/?vgnextfmt=default&amp;vgnextoid=a1d06e0754c0c210VgnVCM2000000c205a0aRCRD&amp;vgnextchannel=560d62a006986210VgnVCM2000000c205a0aRCRD" xr:uid="{FB57C229-E0C7-4B05-AC96-24A7E6386CB7}"/>
    <hyperlink ref="B20" r:id="rId9" display="https://www.madrid.es/portales/munimadrid/es/Inicio/El-Ayuntamiento/Estadistica/Areas-de-informacion-estadistica/Mercado-de-trabajo/Encuesta-de-Poblacion-Activa-EPA-/Indicadores-de-la-Poblacion-de-16-a-64-anos/?vgnextfmt=default&amp;vgnextoid=a1d06e0754c0c210VgnVCM2000000c205a0aRCRD&amp;vgnextchannel=560d62a006986210VgnVCM2000000c205a0aRCRD" xr:uid="{E9EE77AA-538A-4113-A36E-038D52A69B4B}"/>
    <hyperlink ref="B41" r:id="rId10" xr:uid="{293E40F7-5FBD-4E84-AA32-A692FF88D621}"/>
  </hyperlinks>
  <pageMargins left="0.7" right="0.7" top="0.75" bottom="0.75" header="0.3" footer="0.3"/>
  <pageSetup paperSize="9" orientation="portrait" horizontalDpi="1200" verticalDpi="1200"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AA5D8-FEE3-46AC-B295-B7FE13D78B8C}">
  <sheetPr>
    <tabColor theme="7" tint="0.59999389629810485"/>
  </sheetPr>
  <dimension ref="A1:AB81"/>
  <sheetViews>
    <sheetView showGridLines="0" topLeftCell="A2" zoomScale="75" zoomScaleNormal="75" workbookViewId="0">
      <selection activeCell="Z6" sqref="Z6"/>
    </sheetView>
  </sheetViews>
  <sheetFormatPr baseColWidth="10" defaultColWidth="11.453125" defaultRowHeight="15.5"/>
  <cols>
    <col min="1" max="1" width="17.81640625" style="119" bestFit="1" customWidth="1"/>
    <col min="2" max="2" width="34.453125" customWidth="1"/>
    <col min="3" max="3" width="14.54296875" customWidth="1"/>
    <col min="4" max="4" width="44" customWidth="1"/>
    <col min="5" max="5" width="11.453125" style="11" customWidth="1"/>
    <col min="6" max="9" width="0" style="11" hidden="1" customWidth="1"/>
    <col min="10" max="10" width="11.453125" style="11"/>
    <col min="11" max="14" width="0" style="11" hidden="1" customWidth="1"/>
    <col min="15" max="15" width="11.453125" style="11"/>
    <col min="16" max="19" width="0" style="11" hidden="1" customWidth="1"/>
    <col min="20" max="21" width="11.453125" style="11"/>
    <col min="22" max="23" width="11.26953125" style="11" customWidth="1"/>
    <col min="24" max="25" width="11.453125" style="11" customWidth="1"/>
  </cols>
  <sheetData>
    <row r="1" spans="1:28" ht="32" thickTop="1" thickBot="1">
      <c r="A1" s="24" t="s">
        <v>463</v>
      </c>
      <c r="Z1" s="136" t="s">
        <v>245</v>
      </c>
    </row>
    <row r="2" spans="1:28" ht="16.5" thickTop="1" thickBot="1">
      <c r="A2" s="138" t="s">
        <v>285</v>
      </c>
      <c r="B2" s="1282" t="s">
        <v>246</v>
      </c>
      <c r="C2" s="1244"/>
      <c r="D2" s="14"/>
      <c r="E2" s="96">
        <v>2005</v>
      </c>
      <c r="F2" s="96">
        <v>2006</v>
      </c>
      <c r="G2" s="96">
        <v>2007</v>
      </c>
      <c r="H2" s="96">
        <v>2008</v>
      </c>
      <c r="I2" s="96">
        <v>2009</v>
      </c>
      <c r="J2" s="96">
        <v>2010</v>
      </c>
      <c r="K2" s="96">
        <v>2011</v>
      </c>
      <c r="L2" s="96">
        <v>2012</v>
      </c>
      <c r="M2" s="96">
        <v>2013</v>
      </c>
      <c r="N2" s="96">
        <v>2014</v>
      </c>
      <c r="O2" s="96">
        <v>2015</v>
      </c>
      <c r="P2" s="96">
        <v>2016</v>
      </c>
      <c r="Q2" s="96">
        <v>2017</v>
      </c>
      <c r="R2" s="96">
        <v>2018</v>
      </c>
      <c r="S2" s="96">
        <v>2019</v>
      </c>
      <c r="T2" s="96">
        <v>2020</v>
      </c>
      <c r="U2" s="96">
        <v>2021</v>
      </c>
      <c r="V2" s="96">
        <v>2022</v>
      </c>
      <c r="W2" s="15">
        <v>2023</v>
      </c>
      <c r="X2" s="15">
        <v>2024</v>
      </c>
      <c r="Y2" s="978"/>
    </row>
    <row r="3" spans="1:28" ht="14.5">
      <c r="A3" s="1276" t="s">
        <v>73</v>
      </c>
      <c r="B3" s="1228" t="s">
        <v>464</v>
      </c>
      <c r="C3" s="1283"/>
      <c r="D3" s="52" t="s">
        <v>465</v>
      </c>
      <c r="E3" s="371">
        <f>(E4+E5)/2</f>
        <v>13.42</v>
      </c>
      <c r="F3" s="371"/>
      <c r="G3" s="371"/>
      <c r="H3" s="371"/>
      <c r="I3" s="371"/>
      <c r="J3" s="667">
        <v>16.28</v>
      </c>
      <c r="K3" s="667"/>
      <c r="L3" s="667"/>
      <c r="M3" s="667"/>
      <c r="N3" s="667"/>
      <c r="O3" s="667">
        <v>16.73</v>
      </c>
      <c r="P3" s="667"/>
      <c r="Q3" s="667"/>
      <c r="R3" s="667"/>
      <c r="S3" s="667"/>
      <c r="T3" s="667">
        <v>18.079999999999998</v>
      </c>
      <c r="U3" s="371">
        <v>18.399999999999999</v>
      </c>
      <c r="V3" s="371">
        <f>(V4+V5)/2</f>
        <v>19.380000000000003</v>
      </c>
      <c r="W3" s="1078">
        <f>(W4+W5)/2</f>
        <v>19.380000000000003</v>
      </c>
      <c r="X3" s="668"/>
      <c r="Y3" s="977"/>
    </row>
    <row r="4" spans="1:28" ht="14.5">
      <c r="A4" s="1277"/>
      <c r="B4" s="1229"/>
      <c r="C4" s="1284"/>
      <c r="D4" s="16" t="s">
        <v>466</v>
      </c>
      <c r="E4" s="360">
        <v>15.41</v>
      </c>
      <c r="F4" s="360"/>
      <c r="G4" s="360"/>
      <c r="H4" s="360"/>
      <c r="I4" s="360"/>
      <c r="J4" s="361">
        <v>17.559999999999999</v>
      </c>
      <c r="K4" s="361"/>
      <c r="L4" s="361"/>
      <c r="M4" s="361"/>
      <c r="N4" s="361"/>
      <c r="O4" s="361">
        <v>17.87</v>
      </c>
      <c r="P4" s="361"/>
      <c r="Q4" s="361"/>
      <c r="R4" s="361"/>
      <c r="S4" s="361"/>
      <c r="T4" s="361">
        <v>19.11</v>
      </c>
      <c r="U4" s="362">
        <v>19.46</v>
      </c>
      <c r="V4" s="362">
        <v>20.59</v>
      </c>
      <c r="W4" s="373">
        <v>20.59</v>
      </c>
      <c r="X4" s="373"/>
      <c r="Y4" s="977"/>
    </row>
    <row r="5" spans="1:28" ht="14.5">
      <c r="A5" s="1277"/>
      <c r="B5" s="1229"/>
      <c r="C5" s="1284"/>
      <c r="D5" s="16" t="s">
        <v>467</v>
      </c>
      <c r="E5" s="360">
        <v>11.43</v>
      </c>
      <c r="F5" s="360"/>
      <c r="G5" s="360"/>
      <c r="H5" s="360"/>
      <c r="I5" s="360"/>
      <c r="J5" s="361">
        <v>14.78</v>
      </c>
      <c r="K5" s="361"/>
      <c r="L5" s="361"/>
      <c r="M5" s="361"/>
      <c r="N5" s="361"/>
      <c r="O5" s="361">
        <v>15.45</v>
      </c>
      <c r="P5" s="361"/>
      <c r="Q5" s="361"/>
      <c r="R5" s="361"/>
      <c r="S5" s="361"/>
      <c r="T5" s="361">
        <v>16.87</v>
      </c>
      <c r="U5" s="362">
        <v>17.34</v>
      </c>
      <c r="V5" s="362">
        <v>18.170000000000002</v>
      </c>
      <c r="W5" s="373">
        <v>18.170000000000002</v>
      </c>
      <c r="X5" s="373"/>
      <c r="Y5" s="977"/>
    </row>
    <row r="6" spans="1:28" ht="14.5">
      <c r="A6" s="1277"/>
      <c r="B6" s="1229"/>
      <c r="C6" s="1284"/>
      <c r="D6" s="142" t="s">
        <v>468</v>
      </c>
      <c r="E6" s="363">
        <f>+E5-E4</f>
        <v>-3.9800000000000004</v>
      </c>
      <c r="F6" s="363"/>
      <c r="G6" s="363"/>
      <c r="H6" s="363"/>
      <c r="I6" s="363"/>
      <c r="J6" s="363">
        <f t="shared" ref="J6:U6" si="0">+J5-J4</f>
        <v>-2.7799999999999994</v>
      </c>
      <c r="K6" s="363"/>
      <c r="L6" s="363"/>
      <c r="M6" s="363"/>
      <c r="N6" s="363"/>
      <c r="O6" s="363">
        <f t="shared" si="0"/>
        <v>-2.4200000000000017</v>
      </c>
      <c r="P6" s="363"/>
      <c r="Q6" s="363"/>
      <c r="R6" s="363"/>
      <c r="S6" s="363"/>
      <c r="T6" s="363">
        <f t="shared" si="0"/>
        <v>-2.2399999999999984</v>
      </c>
      <c r="U6" s="363">
        <f t="shared" si="0"/>
        <v>-2.120000000000001</v>
      </c>
      <c r="V6" s="363">
        <f t="shared" ref="V6:W6" si="1">+V5-V4</f>
        <v>-2.4199999999999982</v>
      </c>
      <c r="W6" s="363">
        <f t="shared" si="1"/>
        <v>-2.4199999999999982</v>
      </c>
      <c r="X6" s="669"/>
      <c r="Y6" s="977"/>
    </row>
    <row r="7" spans="1:28" ht="15" thickBot="1">
      <c r="A7" s="1277"/>
      <c r="B7" s="1285"/>
      <c r="C7" s="1286"/>
      <c r="D7" s="405" t="s">
        <v>469</v>
      </c>
      <c r="E7" s="364">
        <f>+(E5-E4)/E4*100</f>
        <v>-25.827384815055161</v>
      </c>
      <c r="F7" s="364"/>
      <c r="G7" s="364"/>
      <c r="H7" s="364"/>
      <c r="I7" s="364"/>
      <c r="J7" s="364">
        <f t="shared" ref="J7:W7" si="2">+(J5-J4)/J4*100</f>
        <v>-15.831435079726649</v>
      </c>
      <c r="K7" s="364"/>
      <c r="L7" s="364"/>
      <c r="M7" s="364"/>
      <c r="N7" s="364"/>
      <c r="O7" s="364">
        <f t="shared" si="2"/>
        <v>-13.54224958030219</v>
      </c>
      <c r="P7" s="364"/>
      <c r="Q7" s="364"/>
      <c r="R7" s="364"/>
      <c r="S7" s="364"/>
      <c r="T7" s="364">
        <f t="shared" si="2"/>
        <v>-11.721611721611714</v>
      </c>
      <c r="U7" s="364">
        <f t="shared" si="2"/>
        <v>-10.894141829393632</v>
      </c>
      <c r="V7" s="364">
        <f t="shared" si="2"/>
        <v>-11.75327829043224</v>
      </c>
      <c r="W7" s="364">
        <f t="shared" si="2"/>
        <v>-11.75327829043224</v>
      </c>
      <c r="X7" s="669"/>
      <c r="Y7" s="977"/>
    </row>
    <row r="8" spans="1:28" ht="15" thickBot="1">
      <c r="A8" s="1277"/>
      <c r="B8" s="1282" t="s">
        <v>246</v>
      </c>
      <c r="C8" s="1244"/>
      <c r="D8" s="14"/>
      <c r="E8" s="96">
        <v>2005</v>
      </c>
      <c r="F8" s="96">
        <v>2006</v>
      </c>
      <c r="G8" s="96">
        <v>2007</v>
      </c>
      <c r="H8" s="96">
        <v>2008</v>
      </c>
      <c r="I8" s="96">
        <v>2009</v>
      </c>
      <c r="J8" s="96">
        <v>2010</v>
      </c>
      <c r="K8" s="96">
        <v>2011</v>
      </c>
      <c r="L8" s="96">
        <v>2012</v>
      </c>
      <c r="M8" s="96">
        <v>2013</v>
      </c>
      <c r="N8" s="96">
        <v>2014</v>
      </c>
      <c r="O8" s="96">
        <v>2015</v>
      </c>
      <c r="P8" s="96">
        <v>2016</v>
      </c>
      <c r="Q8" s="96">
        <v>2017</v>
      </c>
      <c r="R8" s="96">
        <v>2018</v>
      </c>
      <c r="S8" s="96">
        <v>2019</v>
      </c>
      <c r="T8" s="96">
        <v>2020</v>
      </c>
      <c r="U8" s="96">
        <v>2021</v>
      </c>
      <c r="V8" s="96">
        <v>2022</v>
      </c>
      <c r="W8" s="15">
        <v>2023</v>
      </c>
      <c r="X8" s="15">
        <v>2024</v>
      </c>
      <c r="Y8" s="978"/>
    </row>
    <row r="9" spans="1:28" ht="14.5">
      <c r="A9" s="1277"/>
      <c r="B9" s="1228" t="s">
        <v>470</v>
      </c>
      <c r="C9" s="1283"/>
      <c r="D9" s="50" t="s">
        <v>465</v>
      </c>
      <c r="E9" s="320"/>
      <c r="F9" s="321"/>
      <c r="G9" s="321"/>
      <c r="H9" s="321"/>
      <c r="I9" s="321"/>
      <c r="J9" s="365">
        <v>955.11</v>
      </c>
      <c r="K9" s="365"/>
      <c r="L9" s="365"/>
      <c r="M9" s="365"/>
      <c r="N9" s="365"/>
      <c r="O9" s="365">
        <v>1086.21</v>
      </c>
      <c r="P9" s="365"/>
      <c r="Q9" s="365"/>
      <c r="R9" s="365"/>
      <c r="S9" s="365"/>
      <c r="T9" s="366">
        <v>1199</v>
      </c>
      <c r="U9" s="366">
        <v>1228</v>
      </c>
      <c r="V9" s="366">
        <v>1253</v>
      </c>
      <c r="W9" s="670">
        <v>1430</v>
      </c>
      <c r="X9" s="1075">
        <v>1443</v>
      </c>
      <c r="Y9" s="979"/>
      <c r="Z9" s="647"/>
      <c r="AA9" s="647"/>
      <c r="AB9" s="647"/>
    </row>
    <row r="10" spans="1:28" ht="14.5">
      <c r="A10" s="1277"/>
      <c r="B10" s="1229"/>
      <c r="C10" s="1284"/>
      <c r="D10" s="16" t="s">
        <v>466</v>
      </c>
      <c r="E10" s="305"/>
      <c r="F10" s="305"/>
      <c r="G10" s="305"/>
      <c r="H10" s="305"/>
      <c r="I10" s="305"/>
      <c r="J10" s="367">
        <v>1231.92</v>
      </c>
      <c r="K10" s="367"/>
      <c r="L10" s="367"/>
      <c r="M10" s="367"/>
      <c r="N10" s="367"/>
      <c r="O10" s="367">
        <v>1376.18</v>
      </c>
      <c r="P10" s="367"/>
      <c r="Q10" s="367"/>
      <c r="R10" s="367"/>
      <c r="S10" s="367"/>
      <c r="T10" s="368">
        <v>1477</v>
      </c>
      <c r="U10" s="368">
        <v>1509</v>
      </c>
      <c r="V10" s="368">
        <v>1536</v>
      </c>
      <c r="W10" s="671">
        <v>1745</v>
      </c>
      <c r="X10" s="1076">
        <v>1754</v>
      </c>
      <c r="Y10" s="980"/>
      <c r="Z10" s="647"/>
      <c r="AA10" s="647"/>
      <c r="AB10" s="647"/>
    </row>
    <row r="11" spans="1:28" ht="14.5">
      <c r="A11" s="1277"/>
      <c r="B11" s="1229"/>
      <c r="C11" s="1284"/>
      <c r="D11" s="16" t="s">
        <v>467</v>
      </c>
      <c r="E11" s="305"/>
      <c r="F11" s="305"/>
      <c r="G11" s="305"/>
      <c r="H11" s="305"/>
      <c r="I11" s="305"/>
      <c r="J11" s="367">
        <v>731.43</v>
      </c>
      <c r="K11" s="367"/>
      <c r="L11" s="367"/>
      <c r="M11" s="367"/>
      <c r="N11" s="367"/>
      <c r="O11" s="367">
        <v>858.75</v>
      </c>
      <c r="P11" s="367"/>
      <c r="Q11" s="367"/>
      <c r="R11" s="367"/>
      <c r="S11" s="367"/>
      <c r="T11" s="368">
        <v>988</v>
      </c>
      <c r="U11" s="368">
        <v>1020</v>
      </c>
      <c r="V11" s="368">
        <v>1047</v>
      </c>
      <c r="W11" s="671">
        <v>1201</v>
      </c>
      <c r="X11" s="1076">
        <v>1218</v>
      </c>
      <c r="Y11" s="980"/>
      <c r="Z11" s="647"/>
      <c r="AA11" s="647"/>
      <c r="AB11" s="647"/>
    </row>
    <row r="12" spans="1:28" ht="14.5">
      <c r="A12" s="1277"/>
      <c r="B12" s="1229"/>
      <c r="C12" s="1284"/>
      <c r="D12" s="142" t="s">
        <v>468</v>
      </c>
      <c r="E12" s="322"/>
      <c r="F12" s="322"/>
      <c r="G12" s="322"/>
      <c r="H12" s="322"/>
      <c r="I12" s="322"/>
      <c r="J12" s="51">
        <f>(+J11-J10)</f>
        <v>-500.49000000000012</v>
      </c>
      <c r="K12" s="51"/>
      <c r="L12" s="51"/>
      <c r="M12" s="51"/>
      <c r="N12" s="51"/>
      <c r="O12" s="51">
        <f t="shared" ref="O12:V12" si="3">(+O11-O10)</f>
        <v>-517.43000000000006</v>
      </c>
      <c r="P12" s="51"/>
      <c r="Q12" s="51"/>
      <c r="R12" s="51"/>
      <c r="S12" s="51"/>
      <c r="T12" s="51">
        <f t="shared" si="3"/>
        <v>-489</v>
      </c>
      <c r="U12" s="51">
        <f t="shared" si="3"/>
        <v>-489</v>
      </c>
      <c r="V12" s="51">
        <f t="shared" si="3"/>
        <v>-489</v>
      </c>
      <c r="W12" s="51">
        <f>(+W11-W10)</f>
        <v>-544</v>
      </c>
      <c r="X12" s="975">
        <f>(+X11-X10)</f>
        <v>-536</v>
      </c>
      <c r="Y12" s="981"/>
    </row>
    <row r="13" spans="1:28" ht="14.5" customHeight="1" thickBot="1">
      <c r="A13" s="1277"/>
      <c r="B13" s="1285"/>
      <c r="C13" s="1286"/>
      <c r="D13" s="406" t="s">
        <v>469</v>
      </c>
      <c r="E13" s="323"/>
      <c r="F13" s="323"/>
      <c r="G13" s="323"/>
      <c r="H13" s="323"/>
      <c r="I13" s="323"/>
      <c r="J13" s="369">
        <f>+(J11-J10)/J10*100</f>
        <v>-40.626826417299831</v>
      </c>
      <c r="K13" s="369" t="e">
        <f t="shared" ref="K13:V13" si="4">+(K11-K10)/K10*100</f>
        <v>#DIV/0!</v>
      </c>
      <c r="L13" s="369" t="e">
        <f t="shared" si="4"/>
        <v>#DIV/0!</v>
      </c>
      <c r="M13" s="369" t="e">
        <f t="shared" si="4"/>
        <v>#DIV/0!</v>
      </c>
      <c r="N13" s="369" t="e">
        <f t="shared" si="4"/>
        <v>#DIV/0!</v>
      </c>
      <c r="O13" s="369">
        <f t="shared" si="4"/>
        <v>-37.599005943989887</v>
      </c>
      <c r="P13" s="369" t="e">
        <f t="shared" si="4"/>
        <v>#DIV/0!</v>
      </c>
      <c r="Q13" s="369" t="e">
        <f t="shared" si="4"/>
        <v>#DIV/0!</v>
      </c>
      <c r="R13" s="369" t="e">
        <f t="shared" si="4"/>
        <v>#DIV/0!</v>
      </c>
      <c r="S13" s="369" t="e">
        <f t="shared" si="4"/>
        <v>#DIV/0!</v>
      </c>
      <c r="T13" s="369">
        <f t="shared" si="4"/>
        <v>-33.107650643195669</v>
      </c>
      <c r="U13" s="369">
        <f t="shared" si="4"/>
        <v>-32.405566600397613</v>
      </c>
      <c r="V13" s="369">
        <f t="shared" si="4"/>
        <v>-31.8359375</v>
      </c>
      <c r="W13" s="369">
        <f>+(W11-W10)/W10*100</f>
        <v>-31.174785100286535</v>
      </c>
      <c r="X13" s="672">
        <f>+(X11-X10)/X10*100</f>
        <v>-30.558722919042193</v>
      </c>
      <c r="Y13" s="982"/>
    </row>
    <row r="14" spans="1:28" ht="14.5" customHeight="1" thickBot="1">
      <c r="A14" s="1277"/>
      <c r="B14" s="1282" t="s">
        <v>246</v>
      </c>
      <c r="C14" s="1244"/>
      <c r="D14" s="14"/>
      <c r="E14" s="96">
        <v>2005</v>
      </c>
      <c r="F14" s="96">
        <v>2006</v>
      </c>
      <c r="G14" s="96">
        <v>2007</v>
      </c>
      <c r="H14" s="96">
        <v>2008</v>
      </c>
      <c r="I14" s="96">
        <v>2009</v>
      </c>
      <c r="J14" s="96">
        <v>2010</v>
      </c>
      <c r="K14" s="96">
        <v>2011</v>
      </c>
      <c r="L14" s="96">
        <v>2012</v>
      </c>
      <c r="M14" s="96">
        <v>2013</v>
      </c>
      <c r="N14" s="96">
        <v>2014</v>
      </c>
      <c r="O14" s="96">
        <v>2015</v>
      </c>
      <c r="P14" s="96">
        <v>2016</v>
      </c>
      <c r="Q14" s="96">
        <v>2017</v>
      </c>
      <c r="R14" s="96">
        <v>2018</v>
      </c>
      <c r="S14" s="96">
        <v>2019</v>
      </c>
      <c r="T14" s="96">
        <v>2020</v>
      </c>
      <c r="U14" s="96">
        <v>2021</v>
      </c>
      <c r="V14" s="96">
        <v>2022</v>
      </c>
      <c r="W14" s="15">
        <v>2023</v>
      </c>
      <c r="X14" s="15">
        <v>2024</v>
      </c>
      <c r="Y14" s="978"/>
      <c r="Z14" s="647"/>
      <c r="AA14" s="647"/>
      <c r="AB14" s="647"/>
    </row>
    <row r="15" spans="1:28" ht="14.5">
      <c r="A15" s="1277"/>
      <c r="B15" s="1228" t="s">
        <v>471</v>
      </c>
      <c r="C15" s="1283"/>
      <c r="D15" s="52" t="s">
        <v>336</v>
      </c>
      <c r="E15" s="324"/>
      <c r="F15" s="324"/>
      <c r="G15" s="324"/>
      <c r="H15" s="324"/>
      <c r="I15" s="324"/>
      <c r="J15" s="383">
        <v>29.8</v>
      </c>
      <c r="K15" s="383"/>
      <c r="L15" s="383"/>
      <c r="M15" s="383"/>
      <c r="N15" s="383"/>
      <c r="O15" s="383">
        <v>29.7</v>
      </c>
      <c r="P15" s="383"/>
      <c r="Q15" s="383"/>
      <c r="R15" s="383"/>
      <c r="S15" s="383"/>
      <c r="T15" s="383">
        <v>23.8</v>
      </c>
      <c r="U15" s="374">
        <v>28.165783939145268</v>
      </c>
      <c r="V15" s="375">
        <v>28.7</v>
      </c>
      <c r="W15" s="670">
        <v>23.7</v>
      </c>
      <c r="X15" s="668"/>
      <c r="Y15" s="977"/>
      <c r="Z15" s="647"/>
      <c r="AA15" s="647"/>
      <c r="AB15" s="647"/>
    </row>
    <row r="16" spans="1:28" ht="14.5">
      <c r="A16" s="1277"/>
      <c r="B16" s="1229"/>
      <c r="C16" s="1284"/>
      <c r="D16" s="16" t="s">
        <v>337</v>
      </c>
      <c r="E16" s="325"/>
      <c r="F16" s="325"/>
      <c r="G16" s="325"/>
      <c r="H16" s="325"/>
      <c r="I16" s="325"/>
      <c r="J16" s="378">
        <v>26.5</v>
      </c>
      <c r="K16" s="378"/>
      <c r="L16" s="378"/>
      <c r="M16" s="378"/>
      <c r="N16" s="378"/>
      <c r="O16" s="378">
        <v>28.1</v>
      </c>
      <c r="P16" s="378"/>
      <c r="Q16" s="378"/>
      <c r="R16" s="378"/>
      <c r="S16" s="378"/>
      <c r="T16" s="378">
        <v>25.4</v>
      </c>
      <c r="U16" s="378">
        <v>27.630548293372438</v>
      </c>
      <c r="V16" s="376">
        <v>25.7</v>
      </c>
      <c r="W16" s="326">
        <v>22</v>
      </c>
      <c r="X16" s="373"/>
      <c r="Y16" s="977"/>
      <c r="Z16" s="647"/>
      <c r="AA16" s="647"/>
      <c r="AB16" s="647"/>
    </row>
    <row r="17" spans="1:28" ht="14.5">
      <c r="A17" s="1277"/>
      <c r="B17" s="1229"/>
      <c r="C17" s="1284"/>
      <c r="D17" s="16" t="s">
        <v>338</v>
      </c>
      <c r="E17" s="325"/>
      <c r="F17" s="325"/>
      <c r="G17" s="325"/>
      <c r="H17" s="325"/>
      <c r="I17" s="325"/>
      <c r="J17" s="378">
        <v>32.700000000000003</v>
      </c>
      <c r="K17" s="378"/>
      <c r="L17" s="378"/>
      <c r="M17" s="378"/>
      <c r="N17" s="378"/>
      <c r="O17" s="378">
        <v>31</v>
      </c>
      <c r="P17" s="378"/>
      <c r="Q17" s="378"/>
      <c r="R17" s="378"/>
      <c r="S17" s="378"/>
      <c r="T17" s="378">
        <v>22.4</v>
      </c>
      <c r="U17" s="378">
        <v>28.645553072443725</v>
      </c>
      <c r="V17" s="376">
        <v>31.2</v>
      </c>
      <c r="W17" s="671">
        <v>25.2</v>
      </c>
      <c r="X17" s="373"/>
      <c r="Y17" s="977"/>
      <c r="Z17" s="647"/>
      <c r="AA17" s="647"/>
      <c r="AB17" s="647"/>
    </row>
    <row r="18" spans="1:28" ht="15" thickBot="1">
      <c r="A18" s="1277"/>
      <c r="B18" s="1285"/>
      <c r="C18" s="1286"/>
      <c r="D18" s="141" t="s">
        <v>339</v>
      </c>
      <c r="E18" s="327"/>
      <c r="F18" s="327"/>
      <c r="G18" s="327"/>
      <c r="H18" s="327"/>
      <c r="I18" s="327"/>
      <c r="J18" s="380">
        <f t="shared" ref="J18:T18" si="5">+J17-J16</f>
        <v>6.2000000000000028</v>
      </c>
      <c r="K18" s="380"/>
      <c r="L18" s="380"/>
      <c r="M18" s="380"/>
      <c r="N18" s="380"/>
      <c r="O18" s="381">
        <f t="shared" si="5"/>
        <v>2.8999999999999986</v>
      </c>
      <c r="P18" s="382"/>
      <c r="Q18" s="382"/>
      <c r="R18" s="382"/>
      <c r="S18" s="382"/>
      <c r="T18" s="380">
        <f t="shared" si="5"/>
        <v>-3</v>
      </c>
      <c r="U18" s="380">
        <f>+U17-U16</f>
        <v>1.0150047790712868</v>
      </c>
      <c r="V18" s="380">
        <f>+V17-V16</f>
        <v>5.5</v>
      </c>
      <c r="W18" s="380">
        <f>+W17-W16</f>
        <v>3.1999999999999993</v>
      </c>
      <c r="X18" s="669"/>
      <c r="Y18" s="977"/>
    </row>
    <row r="19" spans="1:28" ht="15" thickBot="1">
      <c r="A19" s="1277"/>
      <c r="B19" s="1282" t="s">
        <v>246</v>
      </c>
      <c r="C19" s="1244"/>
      <c r="D19" s="14"/>
      <c r="E19" s="96">
        <v>2005</v>
      </c>
      <c r="F19" s="96">
        <v>2006</v>
      </c>
      <c r="G19" s="96">
        <v>2007</v>
      </c>
      <c r="H19" s="96">
        <v>2008</v>
      </c>
      <c r="I19" s="96">
        <v>2009</v>
      </c>
      <c r="J19" s="96">
        <v>2010</v>
      </c>
      <c r="K19" s="96">
        <v>2011</v>
      </c>
      <c r="L19" s="96">
        <v>2012</v>
      </c>
      <c r="M19" s="96">
        <v>2013</v>
      </c>
      <c r="N19" s="96">
        <v>2014</v>
      </c>
      <c r="O19" s="96">
        <v>2015</v>
      </c>
      <c r="P19" s="96">
        <v>2016</v>
      </c>
      <c r="Q19" s="96">
        <v>2017</v>
      </c>
      <c r="R19" s="96">
        <v>2018</v>
      </c>
      <c r="S19" s="96">
        <v>2019</v>
      </c>
      <c r="T19" s="96">
        <v>2020</v>
      </c>
      <c r="U19" s="96">
        <v>2021</v>
      </c>
      <c r="V19" s="96">
        <v>2022</v>
      </c>
      <c r="W19" s="15">
        <v>2023</v>
      </c>
      <c r="X19" s="15">
        <v>2024</v>
      </c>
      <c r="Y19" s="978"/>
      <c r="AA19" s="647"/>
      <c r="AB19" s="647"/>
    </row>
    <row r="20" spans="1:28" ht="14.5">
      <c r="A20" s="1277"/>
      <c r="B20" s="1228" t="s">
        <v>472</v>
      </c>
      <c r="C20" s="1283"/>
      <c r="D20" s="52" t="s">
        <v>336</v>
      </c>
      <c r="E20" s="320"/>
      <c r="F20" s="320"/>
      <c r="G20" s="320"/>
      <c r="H20" s="320"/>
      <c r="I20" s="377"/>
      <c r="J20" s="374">
        <v>25.46</v>
      </c>
      <c r="K20" s="374"/>
      <c r="L20" s="374"/>
      <c r="M20" s="374"/>
      <c r="N20" s="374"/>
      <c r="O20" s="374">
        <v>26.48</v>
      </c>
      <c r="P20" s="374"/>
      <c r="Q20" s="374"/>
      <c r="R20" s="374"/>
      <c r="S20" s="374"/>
      <c r="T20" s="374">
        <v>19.989999999999998</v>
      </c>
      <c r="U20" s="374">
        <v>23.1</v>
      </c>
      <c r="V20" s="375">
        <v>25.1</v>
      </c>
      <c r="W20" s="670">
        <v>19.100000000000001</v>
      </c>
      <c r="X20" s="668"/>
      <c r="Y20" s="977"/>
      <c r="Z20" s="647"/>
      <c r="AA20" s="647"/>
      <c r="AB20" s="647"/>
    </row>
    <row r="21" spans="1:28" ht="14.5">
      <c r="A21" s="1277"/>
      <c r="B21" s="1229"/>
      <c r="C21" s="1284"/>
      <c r="D21" s="16" t="s">
        <v>337</v>
      </c>
      <c r="E21" s="305"/>
      <c r="F21" s="305"/>
      <c r="G21" s="305"/>
      <c r="H21" s="305"/>
      <c r="I21" s="376"/>
      <c r="J21" s="361">
        <v>22.74</v>
      </c>
      <c r="K21" s="361"/>
      <c r="L21" s="361"/>
      <c r="M21" s="361"/>
      <c r="N21" s="361"/>
      <c r="O21" s="361">
        <v>25.24</v>
      </c>
      <c r="P21" s="361"/>
      <c r="Q21" s="361"/>
      <c r="R21" s="361"/>
      <c r="S21" s="361"/>
      <c r="T21" s="378">
        <v>21.15</v>
      </c>
      <c r="U21" s="378">
        <v>22.96</v>
      </c>
      <c r="V21" s="376">
        <v>22.5</v>
      </c>
      <c r="W21" s="326">
        <v>17.7</v>
      </c>
      <c r="X21" s="373"/>
      <c r="Y21" s="977"/>
      <c r="Z21" s="664"/>
      <c r="AA21" s="647"/>
      <c r="AB21" s="647"/>
    </row>
    <row r="22" spans="1:28" ht="14.5">
      <c r="A22" s="1277"/>
      <c r="B22" s="1229"/>
      <c r="C22" s="1284"/>
      <c r="D22" s="16" t="s">
        <v>338</v>
      </c>
      <c r="E22" s="305"/>
      <c r="F22" s="305"/>
      <c r="G22" s="305"/>
      <c r="H22" s="305"/>
      <c r="I22" s="376"/>
      <c r="J22" s="361">
        <v>27.9</v>
      </c>
      <c r="K22" s="361"/>
      <c r="L22" s="361"/>
      <c r="M22" s="361"/>
      <c r="N22" s="361"/>
      <c r="O22" s="361">
        <v>27.58</v>
      </c>
      <c r="P22" s="361"/>
      <c r="Q22" s="361"/>
      <c r="R22" s="361"/>
      <c r="S22" s="361"/>
      <c r="T22" s="378">
        <v>18.97</v>
      </c>
      <c r="U22" s="378">
        <v>23.22</v>
      </c>
      <c r="V22" s="376">
        <v>27.4</v>
      </c>
      <c r="W22" s="326">
        <v>20.3</v>
      </c>
      <c r="X22" s="373"/>
      <c r="Y22" s="977"/>
      <c r="Z22" s="664"/>
      <c r="AA22" s="647"/>
      <c r="AB22" s="647"/>
    </row>
    <row r="23" spans="1:28" ht="15" thickBot="1">
      <c r="A23" s="1277"/>
      <c r="B23" s="1285"/>
      <c r="C23" s="1286"/>
      <c r="D23" s="141" t="s">
        <v>339</v>
      </c>
      <c r="E23" s="329"/>
      <c r="F23" s="329"/>
      <c r="G23" s="329"/>
      <c r="H23" s="329"/>
      <c r="I23" s="379"/>
      <c r="J23" s="380">
        <f t="shared" ref="J23:T23" si="6">+J22-J21</f>
        <v>5.16</v>
      </c>
      <c r="K23" s="380"/>
      <c r="L23" s="380"/>
      <c r="M23" s="380"/>
      <c r="N23" s="380"/>
      <c r="O23" s="381">
        <f t="shared" si="6"/>
        <v>2.34</v>
      </c>
      <c r="P23" s="381">
        <f t="shared" si="6"/>
        <v>0</v>
      </c>
      <c r="Q23" s="381">
        <f t="shared" si="6"/>
        <v>0</v>
      </c>
      <c r="R23" s="381">
        <f t="shared" si="6"/>
        <v>0</v>
      </c>
      <c r="S23" s="381">
        <f t="shared" si="6"/>
        <v>0</v>
      </c>
      <c r="T23" s="381">
        <f t="shared" si="6"/>
        <v>-2.1799999999999997</v>
      </c>
      <c r="U23" s="380">
        <f>+U22-U21</f>
        <v>0.25999999999999801</v>
      </c>
      <c r="V23" s="380">
        <f>+V22-V21</f>
        <v>4.8999999999999986</v>
      </c>
      <c r="W23" s="380">
        <f>+W22-W21</f>
        <v>2.6000000000000014</v>
      </c>
      <c r="X23" s="669"/>
      <c r="Y23" s="977"/>
      <c r="Z23" s="664"/>
      <c r="AA23" s="664"/>
      <c r="AB23" s="664"/>
    </row>
    <row r="24" spans="1:28" ht="15" thickBot="1">
      <c r="A24" s="1277"/>
      <c r="B24" s="1282" t="s">
        <v>246</v>
      </c>
      <c r="C24" s="1244"/>
      <c r="D24" s="14"/>
      <c r="E24" s="96">
        <v>2005</v>
      </c>
      <c r="F24" s="96">
        <v>2006</v>
      </c>
      <c r="G24" s="96">
        <v>2007</v>
      </c>
      <c r="H24" s="96">
        <v>2008</v>
      </c>
      <c r="I24" s="96">
        <v>2009</v>
      </c>
      <c r="J24" s="96">
        <v>2010</v>
      </c>
      <c r="K24" s="96">
        <v>2011</v>
      </c>
      <c r="L24" s="96">
        <v>2012</v>
      </c>
      <c r="M24" s="96">
        <v>2013</v>
      </c>
      <c r="N24" s="96">
        <v>2014</v>
      </c>
      <c r="O24" s="96">
        <v>2015</v>
      </c>
      <c r="P24" s="96">
        <v>2016</v>
      </c>
      <c r="Q24" s="96">
        <v>2017</v>
      </c>
      <c r="R24" s="96">
        <v>2018</v>
      </c>
      <c r="S24" s="96">
        <v>2019</v>
      </c>
      <c r="T24" s="96">
        <v>2020</v>
      </c>
      <c r="U24" s="96">
        <v>2021</v>
      </c>
      <c r="V24" s="96">
        <v>2022</v>
      </c>
      <c r="W24" s="15">
        <v>2023</v>
      </c>
      <c r="X24" s="15">
        <v>2024</v>
      </c>
      <c r="Y24" s="978"/>
    </row>
    <row r="25" spans="1:28" ht="14.5">
      <c r="A25" s="1277"/>
      <c r="B25" s="1228" t="s">
        <v>473</v>
      </c>
      <c r="C25" s="1283"/>
      <c r="D25" s="52" t="s">
        <v>336</v>
      </c>
      <c r="E25" s="320"/>
      <c r="F25" s="320"/>
      <c r="G25" s="320"/>
      <c r="H25" s="320"/>
      <c r="I25" s="320"/>
      <c r="J25" s="330">
        <v>31.7</v>
      </c>
      <c r="K25" s="330"/>
      <c r="L25" s="330"/>
      <c r="M25" s="330"/>
      <c r="N25" s="330"/>
      <c r="O25" s="330">
        <v>23.8</v>
      </c>
      <c r="P25" s="330"/>
      <c r="Q25" s="330"/>
      <c r="R25" s="330"/>
      <c r="S25" s="330"/>
      <c r="T25" s="330">
        <v>18</v>
      </c>
      <c r="U25" s="330">
        <v>18.799999999999997</v>
      </c>
      <c r="V25" s="20">
        <v>18.100000000000001</v>
      </c>
      <c r="W25" s="670">
        <v>22.4</v>
      </c>
      <c r="X25" s="668"/>
      <c r="Y25" s="977"/>
    </row>
    <row r="26" spans="1:28" ht="14.5">
      <c r="A26" s="1277"/>
      <c r="B26" s="1229"/>
      <c r="C26" s="1284"/>
      <c r="D26" s="16" t="s">
        <v>337</v>
      </c>
      <c r="E26" s="305"/>
      <c r="F26" s="305"/>
      <c r="G26" s="305"/>
      <c r="H26" s="305"/>
      <c r="I26" s="305"/>
      <c r="J26" s="331">
        <v>28.700000000000003</v>
      </c>
      <c r="K26" s="331"/>
      <c r="L26" s="331"/>
      <c r="M26" s="331"/>
      <c r="N26" s="331"/>
      <c r="O26" s="331">
        <v>22.4</v>
      </c>
      <c r="P26" s="331"/>
      <c r="Q26" s="331"/>
      <c r="R26" s="331"/>
      <c r="S26" s="331"/>
      <c r="T26" s="331">
        <v>19.7</v>
      </c>
      <c r="U26" s="331">
        <v>19</v>
      </c>
      <c r="V26" s="305">
        <v>16.7</v>
      </c>
      <c r="W26" s="326">
        <v>22.1</v>
      </c>
      <c r="X26" s="373"/>
      <c r="Y26" s="977"/>
    </row>
    <row r="27" spans="1:28" ht="14.5">
      <c r="A27" s="1277"/>
      <c r="B27" s="1229"/>
      <c r="C27" s="1284"/>
      <c r="D27" s="16" t="s">
        <v>338</v>
      </c>
      <c r="E27" s="305"/>
      <c r="F27" s="305"/>
      <c r="G27" s="305"/>
      <c r="H27" s="305"/>
      <c r="I27" s="305"/>
      <c r="J27" s="331">
        <v>34.400000000000006</v>
      </c>
      <c r="K27" s="331"/>
      <c r="L27" s="331"/>
      <c r="M27" s="331"/>
      <c r="N27" s="331"/>
      <c r="O27" s="331">
        <v>25</v>
      </c>
      <c r="P27" s="331"/>
      <c r="Q27" s="331"/>
      <c r="R27" s="331"/>
      <c r="S27" s="331"/>
      <c r="T27" s="331">
        <v>16.5</v>
      </c>
      <c r="U27" s="331">
        <v>18.5</v>
      </c>
      <c r="V27" s="305">
        <v>19.3</v>
      </c>
      <c r="W27" s="326">
        <v>22.6</v>
      </c>
      <c r="X27" s="373"/>
      <c r="Y27" s="977"/>
    </row>
    <row r="28" spans="1:28" ht="15" thickBot="1">
      <c r="A28" s="1277"/>
      <c r="B28" s="1285"/>
      <c r="C28" s="1286"/>
      <c r="D28" s="141" t="s">
        <v>339</v>
      </c>
      <c r="E28" s="329"/>
      <c r="F28" s="329"/>
      <c r="G28" s="329"/>
      <c r="H28" s="329"/>
      <c r="I28" s="329"/>
      <c r="J28" s="332">
        <f t="shared" ref="J28:T28" si="7">+J27-J26</f>
        <v>5.7000000000000028</v>
      </c>
      <c r="K28" s="332"/>
      <c r="L28" s="332"/>
      <c r="M28" s="332"/>
      <c r="N28" s="332"/>
      <c r="O28" s="333">
        <f t="shared" si="7"/>
        <v>2.6000000000000014</v>
      </c>
      <c r="P28" s="334"/>
      <c r="Q28" s="334"/>
      <c r="R28" s="334"/>
      <c r="S28" s="334"/>
      <c r="T28" s="332">
        <f t="shared" si="7"/>
        <v>-3.1999999999999993</v>
      </c>
      <c r="U28" s="332">
        <f>+U27-U26</f>
        <v>-0.5</v>
      </c>
      <c r="V28" s="332">
        <f>+V27-V26</f>
        <v>2.6000000000000014</v>
      </c>
      <c r="W28" s="332">
        <f>+W27-W26</f>
        <v>0.5</v>
      </c>
      <c r="X28" s="669"/>
      <c r="Y28" s="977"/>
    </row>
    <row r="29" spans="1:28" ht="15" thickBot="1">
      <c r="A29" s="1277"/>
      <c r="B29" s="1282" t="s">
        <v>246</v>
      </c>
      <c r="C29" s="1244"/>
      <c r="D29" s="14"/>
      <c r="E29" s="96">
        <v>2005</v>
      </c>
      <c r="F29" s="96">
        <v>2006</v>
      </c>
      <c r="G29" s="96">
        <v>2007</v>
      </c>
      <c r="H29" s="96">
        <v>2008</v>
      </c>
      <c r="I29" s="96">
        <v>2009</v>
      </c>
      <c r="J29" s="96">
        <v>2010</v>
      </c>
      <c r="K29" s="96">
        <v>2011</v>
      </c>
      <c r="L29" s="96">
        <v>2012</v>
      </c>
      <c r="M29" s="96">
        <v>2013</v>
      </c>
      <c r="N29" s="96">
        <v>2014</v>
      </c>
      <c r="O29" s="96">
        <v>2015</v>
      </c>
      <c r="P29" s="96">
        <v>2016</v>
      </c>
      <c r="Q29" s="96">
        <v>2017</v>
      </c>
      <c r="R29" s="96">
        <v>2018</v>
      </c>
      <c r="S29" s="96">
        <v>2019</v>
      </c>
      <c r="T29" s="96">
        <v>2020</v>
      </c>
      <c r="U29" s="96">
        <v>2021</v>
      </c>
      <c r="V29" s="96">
        <v>2022</v>
      </c>
      <c r="W29" s="15">
        <v>2023</v>
      </c>
      <c r="X29" s="15">
        <v>2024</v>
      </c>
      <c r="Y29" s="978"/>
    </row>
    <row r="30" spans="1:28" ht="15" customHeight="1">
      <c r="A30" s="1277"/>
      <c r="B30" s="1228" t="s">
        <v>474</v>
      </c>
      <c r="C30" s="1283"/>
      <c r="D30" s="407" t="s">
        <v>475</v>
      </c>
      <c r="E30" s="320"/>
      <c r="F30" s="320"/>
      <c r="G30" s="320"/>
      <c r="H30" s="320"/>
      <c r="I30" s="320"/>
      <c r="J30" s="374">
        <v>25.46</v>
      </c>
      <c r="K30" s="374"/>
      <c r="L30" s="374"/>
      <c r="M30" s="374"/>
      <c r="N30" s="374"/>
      <c r="O30" s="374">
        <v>25.8</v>
      </c>
      <c r="P30" s="374"/>
      <c r="Q30" s="374"/>
      <c r="R30" s="374"/>
      <c r="S30" s="374"/>
      <c r="T30" s="374">
        <v>19.989999999999998</v>
      </c>
      <c r="U30" s="374">
        <v>23.1</v>
      </c>
      <c r="V30" s="375">
        <v>25.1</v>
      </c>
      <c r="W30" s="670">
        <v>19.100000000000001</v>
      </c>
      <c r="X30" s="668"/>
      <c r="Y30" s="977"/>
    </row>
    <row r="31" spans="1:28" ht="14.5" customHeight="1">
      <c r="A31" s="1277"/>
      <c r="B31" s="1229"/>
      <c r="C31" s="1284"/>
      <c r="D31" s="408" t="s">
        <v>476</v>
      </c>
      <c r="E31" s="305"/>
      <c r="F31" s="305"/>
      <c r="G31" s="305"/>
      <c r="H31" s="305"/>
      <c r="I31" s="305"/>
      <c r="J31" s="376">
        <v>57.8</v>
      </c>
      <c r="K31" s="376"/>
      <c r="L31" s="376"/>
      <c r="M31" s="376"/>
      <c r="N31" s="376"/>
      <c r="O31" s="376">
        <v>46.9</v>
      </c>
      <c r="P31" s="376"/>
      <c r="Q31" s="376"/>
      <c r="R31" s="376"/>
      <c r="S31" s="376"/>
      <c r="T31" s="376">
        <v>33.1</v>
      </c>
      <c r="U31" s="376">
        <v>32.299999999999997</v>
      </c>
      <c r="V31" s="376">
        <v>43.4</v>
      </c>
      <c r="W31" s="326">
        <v>56.7</v>
      </c>
      <c r="X31" s="373"/>
      <c r="Y31" s="977"/>
    </row>
    <row r="32" spans="1:28" ht="14.15" customHeight="1" thickBot="1">
      <c r="A32" s="1277"/>
      <c r="B32" s="1229"/>
      <c r="C32" s="1284"/>
      <c r="D32" s="409" t="s">
        <v>339</v>
      </c>
      <c r="E32" s="101"/>
      <c r="F32" s="101"/>
      <c r="G32" s="101"/>
      <c r="H32" s="101"/>
      <c r="I32" s="101"/>
      <c r="J32" s="318">
        <f>+J31-J30</f>
        <v>32.339999999999996</v>
      </c>
      <c r="K32" s="318"/>
      <c r="L32" s="318"/>
      <c r="M32" s="318"/>
      <c r="N32" s="318"/>
      <c r="O32" s="318">
        <f t="shared" ref="O32:W32" si="8">+O31-O30</f>
        <v>21.099999999999998</v>
      </c>
      <c r="P32" s="318"/>
      <c r="Q32" s="318"/>
      <c r="R32" s="318"/>
      <c r="S32" s="318"/>
      <c r="T32" s="318">
        <f t="shared" si="8"/>
        <v>13.110000000000003</v>
      </c>
      <c r="U32" s="318">
        <f t="shared" si="8"/>
        <v>9.1999999999999957</v>
      </c>
      <c r="V32" s="318">
        <f t="shared" si="8"/>
        <v>18.299999999999997</v>
      </c>
      <c r="W32" s="318">
        <f t="shared" si="8"/>
        <v>37.6</v>
      </c>
      <c r="X32" s="373"/>
      <c r="Y32" s="977"/>
    </row>
    <row r="33" spans="1:28" ht="16" thickBot="1">
      <c r="A33" s="139" t="s">
        <v>285</v>
      </c>
      <c r="B33" s="1287" t="s">
        <v>246</v>
      </c>
      <c r="C33" s="1290"/>
      <c r="D33" s="663"/>
      <c r="E33" s="96">
        <v>2005</v>
      </c>
      <c r="F33" s="96">
        <v>2006</v>
      </c>
      <c r="G33" s="96">
        <v>2007</v>
      </c>
      <c r="H33" s="96">
        <v>2008</v>
      </c>
      <c r="I33" s="96">
        <v>2009</v>
      </c>
      <c r="J33" s="96">
        <v>2010</v>
      </c>
      <c r="K33" s="96">
        <v>2011</v>
      </c>
      <c r="L33" s="96">
        <v>2012</v>
      </c>
      <c r="M33" s="96">
        <v>2013</v>
      </c>
      <c r="N33" s="96">
        <v>2014</v>
      </c>
      <c r="O33" s="96">
        <v>2015</v>
      </c>
      <c r="P33" s="96">
        <v>2016</v>
      </c>
      <c r="Q33" s="96">
        <v>2017</v>
      </c>
      <c r="R33" s="96">
        <v>2018</v>
      </c>
      <c r="S33" s="96">
        <v>2019</v>
      </c>
      <c r="T33" s="96">
        <v>2020</v>
      </c>
      <c r="U33" s="96">
        <v>2021</v>
      </c>
      <c r="V33" s="96">
        <v>2022</v>
      </c>
      <c r="W33" s="15">
        <v>2023</v>
      </c>
      <c r="X33" s="15">
        <v>2024</v>
      </c>
      <c r="Y33" s="978"/>
    </row>
    <row r="34" spans="1:28" ht="15.65" customHeight="1">
      <c r="A34" s="1276" t="s">
        <v>477</v>
      </c>
      <c r="B34" s="1292" t="s">
        <v>478</v>
      </c>
      <c r="C34" s="1284"/>
      <c r="D34" s="407" t="s">
        <v>336</v>
      </c>
      <c r="E34" s="320"/>
      <c r="F34" s="320"/>
      <c r="G34" s="320"/>
      <c r="H34" s="320"/>
      <c r="I34" s="320"/>
      <c r="J34" s="320"/>
      <c r="K34" s="320"/>
      <c r="L34" s="320"/>
      <c r="M34" s="320"/>
      <c r="N34" s="320"/>
      <c r="O34" s="370">
        <v>38.640147833033367</v>
      </c>
      <c r="P34" s="370"/>
      <c r="Q34" s="370"/>
      <c r="R34" s="370"/>
      <c r="S34" s="370"/>
      <c r="T34" s="370">
        <v>36.868946112679538</v>
      </c>
      <c r="U34" s="370">
        <v>39.388288381623326</v>
      </c>
      <c r="V34" s="371">
        <v>44.507088316009494</v>
      </c>
      <c r="W34" s="372">
        <v>44.559096755752464</v>
      </c>
      <c r="X34" s="372">
        <v>45.876006798196997</v>
      </c>
      <c r="Y34" s="977"/>
      <c r="Z34" s="665"/>
      <c r="AA34" s="665"/>
      <c r="AB34" s="665"/>
    </row>
    <row r="35" spans="1:28" ht="14.5" customHeight="1">
      <c r="A35" s="1277"/>
      <c r="B35" s="1292"/>
      <c r="C35" s="1284"/>
      <c r="D35" s="408" t="s">
        <v>337</v>
      </c>
      <c r="E35" s="305"/>
      <c r="F35" s="305"/>
      <c r="G35" s="305"/>
      <c r="H35" s="305"/>
      <c r="I35" s="305"/>
      <c r="J35" s="305"/>
      <c r="K35" s="305"/>
      <c r="L35" s="305"/>
      <c r="M35" s="305"/>
      <c r="N35" s="305"/>
      <c r="O35" s="368">
        <v>41.547979438834595</v>
      </c>
      <c r="P35" s="368"/>
      <c r="Q35" s="368"/>
      <c r="R35" s="368"/>
      <c r="S35" s="368"/>
      <c r="T35" s="368">
        <v>40.09971433768068</v>
      </c>
      <c r="U35" s="368">
        <v>43.018793012175756</v>
      </c>
      <c r="V35" s="362">
        <v>48.879853966146698</v>
      </c>
      <c r="W35" s="373">
        <v>49.042171189979122</v>
      </c>
      <c r="X35" s="373">
        <v>49.936937403894333</v>
      </c>
      <c r="Y35" s="977"/>
      <c r="Z35" s="665"/>
      <c r="AA35" s="665"/>
      <c r="AB35" s="665"/>
    </row>
    <row r="36" spans="1:28" ht="14.5" customHeight="1">
      <c r="A36" s="1277"/>
      <c r="B36" s="1292"/>
      <c r="C36" s="1284"/>
      <c r="D36" s="408" t="s">
        <v>338</v>
      </c>
      <c r="E36" s="305"/>
      <c r="F36" s="305"/>
      <c r="G36" s="305"/>
      <c r="H36" s="305"/>
      <c r="I36" s="305"/>
      <c r="J36" s="305"/>
      <c r="K36" s="305"/>
      <c r="L36" s="305"/>
      <c r="M36" s="305"/>
      <c r="N36" s="305"/>
      <c r="O36" s="368">
        <v>36.02282286675689</v>
      </c>
      <c r="P36" s="368"/>
      <c r="Q36" s="368"/>
      <c r="R36" s="368"/>
      <c r="S36" s="368"/>
      <c r="T36" s="368">
        <v>34.286569461666737</v>
      </c>
      <c r="U36" s="368">
        <v>36.594284084659101</v>
      </c>
      <c r="V36" s="362">
        <v>41.229444983456474</v>
      </c>
      <c r="W36" s="373">
        <v>41.206519702741524</v>
      </c>
      <c r="X36" s="373">
        <v>42.841280293346763</v>
      </c>
      <c r="Y36" s="977"/>
      <c r="Z36" s="665"/>
      <c r="AA36" s="665"/>
      <c r="AB36" s="665"/>
    </row>
    <row r="37" spans="1:28" ht="15" customHeight="1" thickBot="1">
      <c r="A37" s="1277"/>
      <c r="B37" s="1293"/>
      <c r="C37" s="1286"/>
      <c r="D37" s="141" t="s">
        <v>339</v>
      </c>
      <c r="E37" s="329"/>
      <c r="F37" s="329"/>
      <c r="G37" s="329"/>
      <c r="H37" s="329"/>
      <c r="I37" s="329"/>
      <c r="J37" s="329"/>
      <c r="K37" s="329"/>
      <c r="L37" s="329"/>
      <c r="M37" s="329"/>
      <c r="N37" s="329"/>
      <c r="O37" s="313">
        <f t="shared" ref="O37:V37" si="9">+O36-O35</f>
        <v>-5.5251565720777052</v>
      </c>
      <c r="P37" s="313"/>
      <c r="Q37" s="313"/>
      <c r="R37" s="313"/>
      <c r="S37" s="313"/>
      <c r="T37" s="313">
        <f t="shared" si="9"/>
        <v>-5.8131448760139435</v>
      </c>
      <c r="U37" s="313">
        <f t="shared" si="9"/>
        <v>-6.4245089275166549</v>
      </c>
      <c r="V37" s="306">
        <f t="shared" si="9"/>
        <v>-7.6504089826902231</v>
      </c>
      <c r="W37" s="306">
        <f>+W36-W35</f>
        <v>-7.8356514872375982</v>
      </c>
      <c r="X37" s="673">
        <f>+X36-X35</f>
        <v>-7.0956571105475703</v>
      </c>
      <c r="Y37" s="977"/>
    </row>
    <row r="38" spans="1:28" ht="15" customHeight="1" thickBot="1">
      <c r="A38" s="1277"/>
      <c r="B38" s="1287" t="s">
        <v>246</v>
      </c>
      <c r="C38" s="1244"/>
      <c r="D38" s="14"/>
      <c r="E38" s="96">
        <v>2005</v>
      </c>
      <c r="F38" s="96">
        <v>2006</v>
      </c>
      <c r="G38" s="96">
        <v>2007</v>
      </c>
      <c r="H38" s="96">
        <v>2008</v>
      </c>
      <c r="I38" s="96">
        <v>2009</v>
      </c>
      <c r="J38" s="96">
        <v>2010</v>
      </c>
      <c r="K38" s="96">
        <v>2011</v>
      </c>
      <c r="L38" s="96">
        <v>2012</v>
      </c>
      <c r="M38" s="96">
        <v>2013</v>
      </c>
      <c r="N38" s="96">
        <v>2014</v>
      </c>
      <c r="O38" s="96">
        <v>2015</v>
      </c>
      <c r="P38" s="96">
        <v>2016</v>
      </c>
      <c r="Q38" s="96">
        <v>2017</v>
      </c>
      <c r="R38" s="96">
        <v>2018</v>
      </c>
      <c r="S38" s="96">
        <v>2019</v>
      </c>
      <c r="T38" s="96">
        <v>2020</v>
      </c>
      <c r="U38" s="96">
        <v>2021</v>
      </c>
      <c r="V38" s="96">
        <v>2022</v>
      </c>
      <c r="W38" s="15">
        <v>2023</v>
      </c>
      <c r="X38" s="15">
        <v>2024</v>
      </c>
      <c r="Y38" s="978"/>
    </row>
    <row r="39" spans="1:28" ht="14.5" customHeight="1">
      <c r="A39" s="1277"/>
      <c r="B39" s="1291" t="s">
        <v>479</v>
      </c>
      <c r="C39" s="1294" t="s">
        <v>480</v>
      </c>
      <c r="D39" s="407" t="s">
        <v>344</v>
      </c>
      <c r="E39" s="320"/>
      <c r="F39" s="320"/>
      <c r="G39" s="320"/>
      <c r="H39" s="320"/>
      <c r="I39" s="320"/>
      <c r="J39" s="320"/>
      <c r="K39" s="320"/>
      <c r="L39" s="320"/>
      <c r="M39" s="320"/>
      <c r="N39" s="320"/>
      <c r="O39" s="320"/>
      <c r="P39" s="320"/>
      <c r="Q39" s="320"/>
      <c r="R39" s="320"/>
      <c r="S39" s="320"/>
      <c r="T39" s="320"/>
      <c r="U39" s="307">
        <v>2859</v>
      </c>
      <c r="V39" s="307">
        <v>1439</v>
      </c>
      <c r="W39" s="335">
        <v>854</v>
      </c>
      <c r="X39" s="335">
        <v>540</v>
      </c>
    </row>
    <row r="40" spans="1:28" ht="14.5" customHeight="1">
      <c r="A40" s="1277"/>
      <c r="B40" s="1292"/>
      <c r="C40" s="1295"/>
      <c r="D40" s="408" t="s">
        <v>345</v>
      </c>
      <c r="E40" s="305"/>
      <c r="F40" s="305"/>
      <c r="G40" s="305"/>
      <c r="H40" s="305"/>
      <c r="I40" s="305"/>
      <c r="J40" s="305"/>
      <c r="K40" s="305"/>
      <c r="L40" s="305"/>
      <c r="M40" s="305"/>
      <c r="N40" s="305"/>
      <c r="O40" s="305"/>
      <c r="P40" s="305"/>
      <c r="Q40" s="305"/>
      <c r="R40" s="305"/>
      <c r="S40" s="305"/>
      <c r="T40" s="305"/>
      <c r="U40" s="308">
        <v>1022</v>
      </c>
      <c r="V40" s="308">
        <v>465</v>
      </c>
      <c r="W40" s="309">
        <v>326</v>
      </c>
      <c r="X40" s="309">
        <v>193</v>
      </c>
      <c r="Y40" s="984"/>
    </row>
    <row r="41" spans="1:28" ht="14.5" customHeight="1">
      <c r="A41" s="1277"/>
      <c r="B41" s="1292"/>
      <c r="C41" s="1295"/>
      <c r="D41" s="408" t="s">
        <v>346</v>
      </c>
      <c r="E41" s="305"/>
      <c r="F41" s="305"/>
      <c r="G41" s="305"/>
      <c r="H41" s="305"/>
      <c r="I41" s="305"/>
      <c r="J41" s="305"/>
      <c r="K41" s="305"/>
      <c r="L41" s="305"/>
      <c r="M41" s="305"/>
      <c r="N41" s="336"/>
      <c r="O41" s="336"/>
      <c r="P41" s="305"/>
      <c r="Q41" s="305"/>
      <c r="R41" s="305"/>
      <c r="S41" s="305"/>
      <c r="T41" s="305"/>
      <c r="U41" s="308">
        <v>1837</v>
      </c>
      <c r="V41" s="308">
        <v>974</v>
      </c>
      <c r="W41" s="309">
        <v>528</v>
      </c>
      <c r="X41" s="309">
        <v>347</v>
      </c>
      <c r="Y41" s="984"/>
    </row>
    <row r="42" spans="1:28" ht="14.5" customHeight="1">
      <c r="A42" s="1277"/>
      <c r="B42" s="1292"/>
      <c r="C42" s="1295"/>
      <c r="D42" s="142" t="s">
        <v>422</v>
      </c>
      <c r="E42" s="337"/>
      <c r="F42" s="337"/>
      <c r="G42" s="337"/>
      <c r="H42" s="337"/>
      <c r="I42" s="337"/>
      <c r="J42" s="337"/>
      <c r="K42" s="337"/>
      <c r="L42" s="337"/>
      <c r="M42" s="337"/>
      <c r="N42" s="337"/>
      <c r="O42" s="337"/>
      <c r="P42" s="337"/>
      <c r="Q42" s="337"/>
      <c r="R42" s="337"/>
      <c r="S42" s="337"/>
      <c r="T42" s="337"/>
      <c r="U42" s="310">
        <f t="shared" ref="U42:X42" si="10">+U41-U40</f>
        <v>815</v>
      </c>
      <c r="V42" s="311">
        <f t="shared" si="10"/>
        <v>509</v>
      </c>
      <c r="W42" s="311">
        <f t="shared" si="10"/>
        <v>202</v>
      </c>
      <c r="X42" s="312">
        <f t="shared" si="10"/>
        <v>154</v>
      </c>
      <c r="Y42" s="985"/>
    </row>
    <row r="43" spans="1:28" ht="15" customHeight="1" thickBot="1">
      <c r="A43" s="1277"/>
      <c r="B43" s="1292"/>
      <c r="C43" s="1296"/>
      <c r="D43" s="142" t="s">
        <v>289</v>
      </c>
      <c r="E43" s="337"/>
      <c r="F43" s="337"/>
      <c r="G43" s="337"/>
      <c r="H43" s="337"/>
      <c r="I43" s="337"/>
      <c r="J43" s="337"/>
      <c r="K43" s="337"/>
      <c r="L43" s="337"/>
      <c r="M43" s="337"/>
      <c r="N43" s="337"/>
      <c r="O43" s="337"/>
      <c r="P43" s="337"/>
      <c r="Q43" s="337"/>
      <c r="R43" s="337"/>
      <c r="S43" s="337"/>
      <c r="T43" s="337"/>
      <c r="U43" s="313">
        <f>+U41/U39*100</f>
        <v>64.253235396991954</v>
      </c>
      <c r="V43" s="313">
        <f>(V41/V39)*100</f>
        <v>67.685892981236975</v>
      </c>
      <c r="W43" s="313">
        <f>+W41/W39*100</f>
        <v>61.826697892271667</v>
      </c>
      <c r="X43" s="314">
        <f>+X41/X39*100</f>
        <v>64.259259259259267</v>
      </c>
      <c r="Y43" s="986"/>
    </row>
    <row r="44" spans="1:28" ht="14.5" customHeight="1">
      <c r="A44" s="1277"/>
      <c r="B44" s="1292"/>
      <c r="C44" s="1294" t="s">
        <v>481</v>
      </c>
      <c r="D44" s="407" t="s">
        <v>344</v>
      </c>
      <c r="E44" s="320"/>
      <c r="F44" s="320"/>
      <c r="G44" s="320"/>
      <c r="H44" s="320"/>
      <c r="I44" s="320"/>
      <c r="J44" s="320"/>
      <c r="K44" s="320"/>
      <c r="L44" s="320"/>
      <c r="M44" s="320"/>
      <c r="N44" s="320"/>
      <c r="O44" s="330"/>
      <c r="P44" s="330"/>
      <c r="Q44" s="330"/>
      <c r="R44" s="330"/>
      <c r="S44" s="330"/>
      <c r="T44" s="330"/>
      <c r="U44" s="315">
        <v>8307</v>
      </c>
      <c r="V44" s="315">
        <v>3839</v>
      </c>
      <c r="W44" s="316">
        <v>1554</v>
      </c>
      <c r="X44" s="316">
        <v>2234</v>
      </c>
      <c r="Y44" s="983"/>
    </row>
    <row r="45" spans="1:28" ht="14.5" customHeight="1">
      <c r="A45" s="1277"/>
      <c r="B45" s="1292"/>
      <c r="C45" s="1295"/>
      <c r="D45" s="408" t="s">
        <v>345</v>
      </c>
      <c r="E45" s="305"/>
      <c r="F45" s="305"/>
      <c r="G45" s="305"/>
      <c r="H45" s="305"/>
      <c r="I45" s="305"/>
      <c r="J45" s="305"/>
      <c r="K45" s="305"/>
      <c r="L45" s="305"/>
      <c r="M45" s="305"/>
      <c r="N45" s="305"/>
      <c r="O45" s="331"/>
      <c r="P45" s="331"/>
      <c r="Q45" s="331"/>
      <c r="R45" s="331"/>
      <c r="S45" s="331"/>
      <c r="T45" s="331"/>
      <c r="U45" s="338">
        <v>2882</v>
      </c>
      <c r="V45" s="338">
        <v>1331</v>
      </c>
      <c r="W45" s="339">
        <v>505</v>
      </c>
      <c r="X45" s="339">
        <v>1044</v>
      </c>
      <c r="Y45" s="984"/>
    </row>
    <row r="46" spans="1:28" ht="14.5" customHeight="1">
      <c r="A46" s="1277"/>
      <c r="B46" s="1292"/>
      <c r="C46" s="1295"/>
      <c r="D46" s="408" t="s">
        <v>346</v>
      </c>
      <c r="E46" s="305"/>
      <c r="F46" s="305"/>
      <c r="G46" s="305"/>
      <c r="H46" s="305"/>
      <c r="I46" s="305"/>
      <c r="J46" s="305"/>
      <c r="K46" s="305"/>
      <c r="L46" s="305"/>
      <c r="M46" s="305"/>
      <c r="N46" s="305"/>
      <c r="O46" s="331"/>
      <c r="P46" s="331"/>
      <c r="Q46" s="331"/>
      <c r="R46" s="331"/>
      <c r="S46" s="331"/>
      <c r="T46" s="331"/>
      <c r="U46" s="308">
        <v>5425</v>
      </c>
      <c r="V46" s="308">
        <v>2508</v>
      </c>
      <c r="W46" s="309">
        <v>1049</v>
      </c>
      <c r="X46" s="339">
        <v>1190</v>
      </c>
      <c r="Y46" s="984"/>
    </row>
    <row r="47" spans="1:28" ht="14.5" customHeight="1">
      <c r="A47" s="1277"/>
      <c r="B47" s="1292"/>
      <c r="C47" s="1295"/>
      <c r="D47" s="410" t="s">
        <v>422</v>
      </c>
      <c r="E47" s="305"/>
      <c r="F47" s="305"/>
      <c r="G47" s="305"/>
      <c r="H47" s="305"/>
      <c r="I47" s="305"/>
      <c r="J47" s="305"/>
      <c r="K47" s="305"/>
      <c r="L47" s="305"/>
      <c r="M47" s="305"/>
      <c r="N47" s="305"/>
      <c r="O47" s="340"/>
      <c r="P47" s="340"/>
      <c r="Q47" s="340"/>
      <c r="R47" s="340"/>
      <c r="S47" s="340"/>
      <c r="T47" s="340"/>
      <c r="U47" s="341">
        <f t="shared" ref="U47:X47" si="11">+U46-U45</f>
        <v>2543</v>
      </c>
      <c r="V47" s="342">
        <f t="shared" si="11"/>
        <v>1177</v>
      </c>
      <c r="W47" s="342">
        <f t="shared" si="11"/>
        <v>544</v>
      </c>
      <c r="X47" s="343">
        <f t="shared" si="11"/>
        <v>146</v>
      </c>
      <c r="Y47" s="985"/>
    </row>
    <row r="48" spans="1:28" ht="15" customHeight="1" thickBot="1">
      <c r="A48" s="1277"/>
      <c r="B48" s="1293"/>
      <c r="C48" s="1296"/>
      <c r="D48" s="142" t="s">
        <v>289</v>
      </c>
      <c r="E48" s="344"/>
      <c r="F48" s="344"/>
      <c r="G48" s="344"/>
      <c r="H48" s="344"/>
      <c r="I48" s="344"/>
      <c r="J48" s="344"/>
      <c r="K48" s="344"/>
      <c r="L48" s="344"/>
      <c r="M48" s="344"/>
      <c r="N48" s="344"/>
      <c r="O48" s="345"/>
      <c r="P48" s="345"/>
      <c r="Q48" s="345"/>
      <c r="R48" s="345"/>
      <c r="S48" s="345"/>
      <c r="T48" s="345"/>
      <c r="U48" s="346">
        <f>U46/U44*100</f>
        <v>65.306368123269536</v>
      </c>
      <c r="V48" s="347">
        <f>(V46/V44)*100</f>
        <v>65.329512893982809</v>
      </c>
      <c r="W48" s="347">
        <f>+W46/W44*100</f>
        <v>67.503217503217499</v>
      </c>
      <c r="X48" s="348">
        <f>+X46/X44*100</f>
        <v>53.267681289167413</v>
      </c>
      <c r="Y48" s="986"/>
    </row>
    <row r="49" spans="1:25" ht="15" thickBot="1">
      <c r="A49" s="1277"/>
      <c r="B49" s="1288" t="s">
        <v>246</v>
      </c>
      <c r="C49" s="1289"/>
      <c r="D49" s="17"/>
      <c r="E49" s="96">
        <v>2005</v>
      </c>
      <c r="F49" s="96">
        <v>2006</v>
      </c>
      <c r="G49" s="96">
        <v>2007</v>
      </c>
      <c r="H49" s="96">
        <v>2008</v>
      </c>
      <c r="I49" s="96">
        <v>2009</v>
      </c>
      <c r="J49" s="96">
        <v>2010</v>
      </c>
      <c r="K49" s="96">
        <v>2011</v>
      </c>
      <c r="L49" s="96">
        <v>2012</v>
      </c>
      <c r="M49" s="96">
        <v>2013</v>
      </c>
      <c r="N49" s="96">
        <v>2014</v>
      </c>
      <c r="O49" s="96">
        <v>2015</v>
      </c>
      <c r="P49" s="96">
        <v>2016</v>
      </c>
      <c r="Q49" s="96">
        <v>2017</v>
      </c>
      <c r="R49" s="96">
        <v>2018</v>
      </c>
      <c r="S49" s="96">
        <v>2019</v>
      </c>
      <c r="T49" s="96">
        <v>2020</v>
      </c>
      <c r="U49" s="96">
        <v>2021</v>
      </c>
      <c r="V49" s="96">
        <v>2022</v>
      </c>
      <c r="W49" s="208">
        <v>2023</v>
      </c>
      <c r="X49" s="15" t="s">
        <v>482</v>
      </c>
      <c r="Y49" s="978"/>
    </row>
    <row r="50" spans="1:25" ht="14.5" customHeight="1">
      <c r="A50" s="1277"/>
      <c r="B50" s="1291" t="s">
        <v>483</v>
      </c>
      <c r="C50" s="1283"/>
      <c r="D50" s="407" t="s">
        <v>344</v>
      </c>
      <c r="E50" s="320"/>
      <c r="F50" s="320"/>
      <c r="G50" s="320"/>
      <c r="H50" s="320"/>
      <c r="I50" s="320"/>
      <c r="J50" s="320"/>
      <c r="K50" s="320"/>
      <c r="L50" s="320"/>
      <c r="M50" s="320"/>
      <c r="N50" s="320"/>
      <c r="O50" s="320"/>
      <c r="P50" s="320"/>
      <c r="Q50" s="320"/>
      <c r="R50" s="320"/>
      <c r="S50" s="320"/>
      <c r="T50" s="320"/>
      <c r="U50" s="320"/>
      <c r="V50" s="320"/>
      <c r="W50" s="320"/>
      <c r="X50" s="339">
        <f>SUM(X51:X52)</f>
        <v>196132</v>
      </c>
      <c r="Y50" s="977"/>
    </row>
    <row r="51" spans="1:25" ht="14.5" customHeight="1">
      <c r="A51" s="1277"/>
      <c r="B51" s="1292"/>
      <c r="C51" s="1284"/>
      <c r="D51" s="408" t="s">
        <v>345</v>
      </c>
      <c r="E51" s="305"/>
      <c r="F51" s="305"/>
      <c r="G51" s="305"/>
      <c r="H51" s="305"/>
      <c r="I51" s="305"/>
      <c r="J51" s="305"/>
      <c r="K51" s="305"/>
      <c r="L51" s="305"/>
      <c r="M51" s="305"/>
      <c r="N51" s="305"/>
      <c r="O51" s="305"/>
      <c r="P51" s="305"/>
      <c r="Q51" s="305"/>
      <c r="R51" s="305"/>
      <c r="S51" s="305"/>
      <c r="T51" s="305"/>
      <c r="U51" s="305"/>
      <c r="V51" s="305"/>
      <c r="W51" s="305"/>
      <c r="X51" s="309">
        <v>89318</v>
      </c>
      <c r="Y51" s="977"/>
    </row>
    <row r="52" spans="1:25" ht="14.5" customHeight="1">
      <c r="A52" s="1277"/>
      <c r="B52" s="1292"/>
      <c r="C52" s="1284"/>
      <c r="D52" s="408" t="s">
        <v>346</v>
      </c>
      <c r="E52" s="305"/>
      <c r="F52" s="305"/>
      <c r="G52" s="305"/>
      <c r="H52" s="305"/>
      <c r="I52" s="305"/>
      <c r="J52" s="305"/>
      <c r="K52" s="305"/>
      <c r="L52" s="305"/>
      <c r="M52" s="305"/>
      <c r="N52" s="305"/>
      <c r="O52" s="305"/>
      <c r="P52" s="305"/>
      <c r="Q52" s="305"/>
      <c r="R52" s="305"/>
      <c r="S52" s="305"/>
      <c r="T52" s="305"/>
      <c r="U52" s="305"/>
      <c r="V52" s="305"/>
      <c r="W52" s="305"/>
      <c r="X52" s="339">
        <v>106814</v>
      </c>
      <c r="Y52" s="977"/>
    </row>
    <row r="53" spans="1:25" ht="14.5" customHeight="1">
      <c r="A53" s="1277"/>
      <c r="B53" s="1292"/>
      <c r="C53" s="1284"/>
      <c r="D53" s="411" t="s">
        <v>422</v>
      </c>
      <c r="E53" s="337"/>
      <c r="F53" s="337"/>
      <c r="G53" s="337"/>
      <c r="H53" s="337"/>
      <c r="I53" s="337"/>
      <c r="J53" s="337"/>
      <c r="K53" s="337"/>
      <c r="L53" s="337"/>
      <c r="M53" s="337"/>
      <c r="N53" s="337"/>
      <c r="O53" s="337"/>
      <c r="P53" s="337"/>
      <c r="Q53" s="337"/>
      <c r="R53" s="337"/>
      <c r="S53" s="337"/>
      <c r="T53" s="337"/>
      <c r="U53" s="337"/>
      <c r="V53" s="337"/>
      <c r="W53" s="337"/>
      <c r="X53" s="343">
        <f>+X52-X51</f>
        <v>17496</v>
      </c>
      <c r="Y53" s="977"/>
    </row>
    <row r="54" spans="1:25" ht="15" customHeight="1" thickBot="1">
      <c r="A54" s="1277"/>
      <c r="B54" s="1293"/>
      <c r="C54" s="1286"/>
      <c r="D54" s="142" t="s">
        <v>289</v>
      </c>
      <c r="E54" s="329"/>
      <c r="F54" s="329"/>
      <c r="G54" s="329"/>
      <c r="H54" s="329"/>
      <c r="I54" s="329"/>
      <c r="J54" s="329"/>
      <c r="K54" s="329"/>
      <c r="L54" s="329"/>
      <c r="M54" s="329"/>
      <c r="N54" s="329"/>
      <c r="O54" s="329"/>
      <c r="P54" s="329"/>
      <c r="Q54" s="329"/>
      <c r="R54" s="329"/>
      <c r="S54" s="329"/>
      <c r="T54" s="329"/>
      <c r="U54" s="329"/>
      <c r="V54" s="329"/>
      <c r="W54" s="329"/>
      <c r="X54" s="348">
        <f>+X52/X50*100</f>
        <v>54.460261456570066</v>
      </c>
      <c r="Y54" s="977"/>
    </row>
    <row r="55" spans="1:25" ht="15" thickBot="1">
      <c r="A55" s="1277"/>
      <c r="B55" s="1282" t="s">
        <v>246</v>
      </c>
      <c r="C55" s="1244"/>
      <c r="D55" s="14"/>
      <c r="E55" s="96">
        <v>2005</v>
      </c>
      <c r="F55" s="96">
        <v>2006</v>
      </c>
      <c r="G55" s="96">
        <v>2007</v>
      </c>
      <c r="H55" s="96">
        <v>2008</v>
      </c>
      <c r="I55" s="96">
        <v>2009</v>
      </c>
      <c r="J55" s="96">
        <v>2010</v>
      </c>
      <c r="K55" s="96">
        <v>2011</v>
      </c>
      <c r="L55" s="96">
        <v>2012</v>
      </c>
      <c r="M55" s="96">
        <v>2013</v>
      </c>
      <c r="N55" s="96">
        <v>2014</v>
      </c>
      <c r="O55" s="96">
        <v>2015</v>
      </c>
      <c r="P55" s="96">
        <v>2016</v>
      </c>
      <c r="Q55" s="96">
        <v>2017</v>
      </c>
      <c r="R55" s="96">
        <v>2018</v>
      </c>
      <c r="S55" s="96">
        <v>2019</v>
      </c>
      <c r="T55" s="96">
        <v>2020</v>
      </c>
      <c r="U55" s="96">
        <v>2021</v>
      </c>
      <c r="V55" s="96">
        <v>2022</v>
      </c>
      <c r="W55" s="15">
        <v>2023</v>
      </c>
      <c r="X55" s="15">
        <v>2024</v>
      </c>
      <c r="Y55" s="978"/>
    </row>
    <row r="56" spans="1:25" ht="14.5">
      <c r="A56" s="1277"/>
      <c r="B56" s="1228" t="s">
        <v>484</v>
      </c>
      <c r="C56" s="1283"/>
      <c r="D56" s="413" t="s">
        <v>344</v>
      </c>
      <c r="E56" s="320"/>
      <c r="F56" s="320"/>
      <c r="G56" s="320"/>
      <c r="H56" s="320"/>
      <c r="I56" s="320"/>
      <c r="J56" s="320"/>
      <c r="K56" s="320"/>
      <c r="L56" s="320"/>
      <c r="M56" s="320"/>
      <c r="N56" s="320"/>
      <c r="O56" s="320"/>
      <c r="P56" s="320"/>
      <c r="Q56" s="320"/>
      <c r="R56" s="320"/>
      <c r="S56" s="320"/>
      <c r="T56" s="358">
        <v>469918</v>
      </c>
      <c r="U56" s="358">
        <v>437385</v>
      </c>
      <c r="V56" s="358">
        <v>438175</v>
      </c>
      <c r="W56" s="359">
        <v>451883</v>
      </c>
      <c r="X56" s="359">
        <v>464789</v>
      </c>
    </row>
    <row r="57" spans="1:25" ht="14.5">
      <c r="A57" s="1277"/>
      <c r="B57" s="1229"/>
      <c r="C57" s="1284"/>
      <c r="D57" s="414" t="s">
        <v>345</v>
      </c>
      <c r="E57" s="305"/>
      <c r="F57" s="305"/>
      <c r="G57" s="305"/>
      <c r="H57" s="305"/>
      <c r="I57" s="305"/>
      <c r="J57" s="305"/>
      <c r="K57" s="305"/>
      <c r="L57" s="305"/>
      <c r="M57" s="305"/>
      <c r="N57" s="305"/>
      <c r="O57" s="305"/>
      <c r="P57" s="305"/>
      <c r="Q57" s="305"/>
      <c r="R57" s="305"/>
      <c r="S57" s="305"/>
      <c r="T57" s="349">
        <v>180027</v>
      </c>
      <c r="U57" s="349">
        <v>165397</v>
      </c>
      <c r="V57" s="349">
        <v>164191</v>
      </c>
      <c r="W57" s="350">
        <v>169794</v>
      </c>
      <c r="X57" s="350">
        <v>174916</v>
      </c>
      <c r="Y57" s="977"/>
    </row>
    <row r="58" spans="1:25" ht="14.5">
      <c r="A58" s="1277"/>
      <c r="B58" s="1229"/>
      <c r="C58" s="1284"/>
      <c r="D58" s="414" t="s">
        <v>346</v>
      </c>
      <c r="E58" s="305"/>
      <c r="F58" s="305"/>
      <c r="G58" s="305"/>
      <c r="H58" s="305"/>
      <c r="I58" s="305"/>
      <c r="J58" s="305"/>
      <c r="K58" s="305"/>
      <c r="L58" s="305"/>
      <c r="M58" s="305"/>
      <c r="N58" s="305"/>
      <c r="O58" s="305"/>
      <c r="P58" s="305"/>
      <c r="Q58" s="305"/>
      <c r="R58" s="305"/>
      <c r="S58" s="305"/>
      <c r="T58" s="349">
        <v>289891</v>
      </c>
      <c r="U58" s="349">
        <v>271988</v>
      </c>
      <c r="V58" s="349">
        <v>273984</v>
      </c>
      <c r="W58" s="350">
        <v>282089</v>
      </c>
      <c r="X58" s="350">
        <v>289873</v>
      </c>
      <c r="Y58" s="977"/>
    </row>
    <row r="59" spans="1:25" ht="14.5">
      <c r="A59" s="1277"/>
      <c r="B59" s="1229"/>
      <c r="C59" s="1284"/>
      <c r="D59" s="142" t="s">
        <v>422</v>
      </c>
      <c r="E59" s="337"/>
      <c r="F59" s="337"/>
      <c r="G59" s="337"/>
      <c r="H59" s="337"/>
      <c r="I59" s="337"/>
      <c r="J59" s="337"/>
      <c r="K59" s="337"/>
      <c r="L59" s="337"/>
      <c r="M59" s="337"/>
      <c r="N59" s="337"/>
      <c r="O59" s="337"/>
      <c r="P59" s="337"/>
      <c r="Q59" s="337"/>
      <c r="R59" s="337"/>
      <c r="S59" s="337"/>
      <c r="T59" s="317">
        <f>+T58-T57</f>
        <v>109864</v>
      </c>
      <c r="U59" s="317">
        <f t="shared" ref="U59:X59" si="12">+U58-U57</f>
        <v>106591</v>
      </c>
      <c r="V59" s="317">
        <f t="shared" si="12"/>
        <v>109793</v>
      </c>
      <c r="W59" s="317">
        <f t="shared" si="12"/>
        <v>112295</v>
      </c>
      <c r="X59" s="674">
        <f t="shared" si="12"/>
        <v>114957</v>
      </c>
      <c r="Y59" s="977"/>
    </row>
    <row r="60" spans="1:25" ht="15" thickBot="1">
      <c r="A60" s="1278"/>
      <c r="B60" s="1285"/>
      <c r="C60" s="1286"/>
      <c r="D60" s="141" t="s">
        <v>289</v>
      </c>
      <c r="E60" s="329"/>
      <c r="F60" s="329"/>
      <c r="G60" s="329"/>
      <c r="H60" s="329"/>
      <c r="I60" s="329"/>
      <c r="J60" s="329"/>
      <c r="K60" s="329"/>
      <c r="L60" s="329"/>
      <c r="M60" s="329"/>
      <c r="N60" s="329"/>
      <c r="O60" s="329"/>
      <c r="P60" s="329"/>
      <c r="Q60" s="329"/>
      <c r="R60" s="329"/>
      <c r="S60" s="329"/>
      <c r="T60" s="318">
        <f>T58/T56*100</f>
        <v>61.68969905387749</v>
      </c>
      <c r="U60" s="318">
        <f>U58/U56*100</f>
        <v>62.185031493992703</v>
      </c>
      <c r="V60" s="318">
        <f>V58/V56*100</f>
        <v>62.528441832601132</v>
      </c>
      <c r="W60" s="318">
        <f>W58/W56*100</f>
        <v>62.425229539504691</v>
      </c>
      <c r="X60" s="319">
        <f>X58/X56*100</f>
        <v>62.366579243484679</v>
      </c>
      <c r="Y60" s="977"/>
    </row>
    <row r="61" spans="1:25" ht="15.75" customHeight="1" thickBot="1">
      <c r="A61" s="139" t="s">
        <v>285</v>
      </c>
      <c r="B61" s="1287" t="s">
        <v>246</v>
      </c>
      <c r="C61" s="1244"/>
      <c r="D61" s="14"/>
      <c r="E61" s="96">
        <v>2005</v>
      </c>
      <c r="F61" s="96">
        <v>2006</v>
      </c>
      <c r="G61" s="96">
        <v>2007</v>
      </c>
      <c r="H61" s="96">
        <v>2008</v>
      </c>
      <c r="I61" s="96">
        <v>2009</v>
      </c>
      <c r="J61" s="96">
        <v>2010</v>
      </c>
      <c r="K61" s="96">
        <v>2011</v>
      </c>
      <c r="L61" s="96">
        <v>2012</v>
      </c>
      <c r="M61" s="96">
        <v>2013</v>
      </c>
      <c r="N61" s="96">
        <v>2014</v>
      </c>
      <c r="O61" s="96">
        <v>2015</v>
      </c>
      <c r="P61" s="96">
        <v>2016</v>
      </c>
      <c r="Q61" s="96">
        <v>2017</v>
      </c>
      <c r="R61" s="96">
        <v>2018</v>
      </c>
      <c r="S61" s="96">
        <v>2019</v>
      </c>
      <c r="T61" s="96">
        <v>2020</v>
      </c>
      <c r="U61" s="96">
        <v>2021</v>
      </c>
      <c r="V61" s="96">
        <v>2022</v>
      </c>
      <c r="W61" s="15">
        <v>2023</v>
      </c>
      <c r="X61" s="15">
        <v>2024</v>
      </c>
      <c r="Y61" s="978"/>
    </row>
    <row r="62" spans="1:25" ht="15.65" customHeight="1">
      <c r="A62" s="1279" t="s">
        <v>99</v>
      </c>
      <c r="B62" s="1228" t="s">
        <v>485</v>
      </c>
      <c r="C62" s="1283"/>
      <c r="D62" s="407" t="s">
        <v>336</v>
      </c>
      <c r="E62" s="321"/>
      <c r="F62" s="321"/>
      <c r="G62" s="321"/>
      <c r="H62" s="321"/>
      <c r="I62" s="321"/>
      <c r="J62" s="351">
        <v>73.7</v>
      </c>
      <c r="K62" s="351"/>
      <c r="L62" s="351"/>
      <c r="M62" s="351"/>
      <c r="N62" s="351"/>
      <c r="O62" s="351">
        <v>69.3</v>
      </c>
      <c r="P62" s="351"/>
      <c r="Q62" s="351"/>
      <c r="R62" s="351"/>
      <c r="S62" s="351"/>
      <c r="T62" s="351">
        <v>67.900000000000006</v>
      </c>
      <c r="U62" s="351">
        <v>64.7</v>
      </c>
      <c r="V62" s="352">
        <v>67.900000000000006</v>
      </c>
      <c r="W62" s="359">
        <v>65.900000000000006</v>
      </c>
      <c r="X62" s="668"/>
      <c r="Y62" s="977"/>
    </row>
    <row r="63" spans="1:25" ht="14.5" customHeight="1">
      <c r="A63" s="1280"/>
      <c r="B63" s="1229"/>
      <c r="C63" s="1284"/>
      <c r="D63" s="408" t="s">
        <v>337</v>
      </c>
      <c r="E63" s="305"/>
      <c r="F63" s="305"/>
      <c r="G63" s="305"/>
      <c r="H63" s="305"/>
      <c r="I63" s="305"/>
      <c r="J63" s="331">
        <v>75.8</v>
      </c>
      <c r="K63" s="331"/>
      <c r="L63" s="331"/>
      <c r="M63" s="331"/>
      <c r="N63" s="331"/>
      <c r="O63" s="331">
        <v>66.7</v>
      </c>
      <c r="P63" s="331"/>
      <c r="Q63" s="331"/>
      <c r="R63" s="331"/>
      <c r="S63" s="331"/>
      <c r="T63" s="331">
        <v>68.7</v>
      </c>
      <c r="U63" s="331">
        <v>65.599999999999994</v>
      </c>
      <c r="V63" s="305">
        <v>68.599999999999994</v>
      </c>
      <c r="W63" s="326">
        <v>64.5</v>
      </c>
      <c r="X63" s="373"/>
      <c r="Y63" s="977"/>
    </row>
    <row r="64" spans="1:25" ht="14.5" customHeight="1">
      <c r="A64" s="1280"/>
      <c r="B64" s="1229"/>
      <c r="C64" s="1284"/>
      <c r="D64" s="408" t="s">
        <v>338</v>
      </c>
      <c r="E64" s="305"/>
      <c r="F64" s="305"/>
      <c r="G64" s="305"/>
      <c r="H64" s="305"/>
      <c r="I64" s="305"/>
      <c r="J64" s="331">
        <v>71.3</v>
      </c>
      <c r="K64" s="331"/>
      <c r="L64" s="331"/>
      <c r="M64" s="331"/>
      <c r="N64" s="331"/>
      <c r="O64" s="331">
        <v>72.099999999999994</v>
      </c>
      <c r="P64" s="331"/>
      <c r="Q64" s="331"/>
      <c r="R64" s="331"/>
      <c r="S64" s="331"/>
      <c r="T64" s="331">
        <v>66.900000000000006</v>
      </c>
      <c r="U64" s="331">
        <v>63.8</v>
      </c>
      <c r="V64" s="305">
        <v>67.099999999999994</v>
      </c>
      <c r="W64" s="326">
        <v>67.400000000000006</v>
      </c>
      <c r="X64" s="373"/>
      <c r="Y64" s="977"/>
    </row>
    <row r="65" spans="1:25" ht="15" customHeight="1" thickBot="1">
      <c r="A65" s="1280"/>
      <c r="B65" s="1285"/>
      <c r="C65" s="1286"/>
      <c r="D65" s="412" t="s">
        <v>339</v>
      </c>
      <c r="E65" s="305"/>
      <c r="F65" s="305"/>
      <c r="G65" s="305"/>
      <c r="H65" s="305"/>
      <c r="I65" s="305"/>
      <c r="J65" s="354">
        <f>+J64-J63</f>
        <v>-4.5</v>
      </c>
      <c r="K65" s="354"/>
      <c r="L65" s="354"/>
      <c r="M65" s="354"/>
      <c r="N65" s="354"/>
      <c r="O65" s="354">
        <f t="shared" ref="O65:W65" si="13">+O64-O63</f>
        <v>5.3999999999999915</v>
      </c>
      <c r="P65" s="354"/>
      <c r="Q65" s="354"/>
      <c r="R65" s="354"/>
      <c r="S65" s="354"/>
      <c r="T65" s="354">
        <f t="shared" si="13"/>
        <v>-1.7999999999999972</v>
      </c>
      <c r="U65" s="354">
        <f t="shared" si="13"/>
        <v>-1.7999999999999972</v>
      </c>
      <c r="V65" s="354">
        <f t="shared" si="13"/>
        <v>-1.5</v>
      </c>
      <c r="W65" s="354">
        <f t="shared" si="13"/>
        <v>2.9000000000000057</v>
      </c>
      <c r="X65" s="669"/>
      <c r="Y65" s="977"/>
    </row>
    <row r="66" spans="1:25" ht="15.75" customHeight="1" thickBot="1">
      <c r="A66" s="1280"/>
      <c r="B66" s="1282" t="s">
        <v>246</v>
      </c>
      <c r="C66" s="1244"/>
      <c r="D66" s="14"/>
      <c r="E66" s="96">
        <v>2005</v>
      </c>
      <c r="F66" s="96">
        <v>2006</v>
      </c>
      <c r="G66" s="96">
        <v>2007</v>
      </c>
      <c r="H66" s="96">
        <v>2008</v>
      </c>
      <c r="I66" s="96">
        <v>2009</v>
      </c>
      <c r="J66" s="96">
        <v>2010</v>
      </c>
      <c r="K66" s="96">
        <v>2011</v>
      </c>
      <c r="L66" s="96">
        <v>2012</v>
      </c>
      <c r="M66" s="96">
        <v>2013</v>
      </c>
      <c r="N66" s="96">
        <v>2014</v>
      </c>
      <c r="O66" s="96">
        <v>2015</v>
      </c>
      <c r="P66" s="96">
        <v>2016</v>
      </c>
      <c r="Q66" s="96">
        <v>2017</v>
      </c>
      <c r="R66" s="96">
        <v>2018</v>
      </c>
      <c r="S66" s="96">
        <v>2019</v>
      </c>
      <c r="T66" s="96">
        <v>2020</v>
      </c>
      <c r="U66" s="96">
        <v>2021</v>
      </c>
      <c r="V66" s="96">
        <v>2022</v>
      </c>
      <c r="W66" s="15">
        <v>2023</v>
      </c>
      <c r="X66" s="15">
        <v>2024</v>
      </c>
      <c r="Y66" s="978"/>
    </row>
    <row r="67" spans="1:25" ht="15.65" customHeight="1">
      <c r="A67" s="1280"/>
      <c r="B67" s="1228" t="s">
        <v>486</v>
      </c>
      <c r="C67" s="1283"/>
      <c r="D67" s="407" t="s">
        <v>336</v>
      </c>
      <c r="E67" s="305"/>
      <c r="F67" s="305"/>
      <c r="G67" s="305"/>
      <c r="H67" s="305"/>
      <c r="I67" s="305"/>
      <c r="J67" s="355">
        <v>6.4</v>
      </c>
      <c r="K67" s="355"/>
      <c r="L67" s="355"/>
      <c r="M67" s="355"/>
      <c r="N67" s="355"/>
      <c r="O67" s="355">
        <v>10.6</v>
      </c>
      <c r="P67" s="355"/>
      <c r="Q67" s="355"/>
      <c r="R67" s="355"/>
      <c r="S67" s="355"/>
      <c r="T67" s="355">
        <v>10.8</v>
      </c>
      <c r="U67" s="355">
        <v>9.6999999999999993</v>
      </c>
      <c r="V67" s="356">
        <v>14.5</v>
      </c>
      <c r="W67" s="1088">
        <v>19.5</v>
      </c>
      <c r="X67" s="668"/>
      <c r="Y67" s="977"/>
    </row>
    <row r="68" spans="1:25" ht="14.5" customHeight="1">
      <c r="A68" s="1280"/>
      <c r="B68" s="1229"/>
      <c r="C68" s="1284"/>
      <c r="D68" s="408" t="s">
        <v>337</v>
      </c>
      <c r="E68" s="305"/>
      <c r="F68" s="305"/>
      <c r="G68" s="305"/>
      <c r="H68" s="305"/>
      <c r="I68" s="305"/>
      <c r="J68" s="331">
        <v>6.2</v>
      </c>
      <c r="K68" s="331"/>
      <c r="L68" s="331"/>
      <c r="M68" s="331"/>
      <c r="N68" s="331"/>
      <c r="O68" s="331">
        <v>10.8</v>
      </c>
      <c r="P68" s="331"/>
      <c r="Q68" s="331"/>
      <c r="R68" s="331"/>
      <c r="S68" s="331"/>
      <c r="T68" s="331">
        <v>11.5</v>
      </c>
      <c r="U68" s="331">
        <v>9</v>
      </c>
      <c r="V68" s="305">
        <v>14.9</v>
      </c>
      <c r="W68" s="326">
        <v>18.399999999999999</v>
      </c>
      <c r="X68" s="373"/>
      <c r="Y68" s="977"/>
    </row>
    <row r="69" spans="1:25" ht="14.5" customHeight="1">
      <c r="A69" s="1280"/>
      <c r="B69" s="1229"/>
      <c r="C69" s="1284"/>
      <c r="D69" s="408" t="s">
        <v>338</v>
      </c>
      <c r="E69" s="305"/>
      <c r="F69" s="305"/>
      <c r="G69" s="305"/>
      <c r="H69" s="305"/>
      <c r="I69" s="305"/>
      <c r="J69" s="331">
        <v>6.6</v>
      </c>
      <c r="K69" s="331"/>
      <c r="L69" s="331"/>
      <c r="M69" s="331"/>
      <c r="N69" s="331"/>
      <c r="O69" s="331">
        <v>10.5</v>
      </c>
      <c r="P69" s="331"/>
      <c r="Q69" s="331"/>
      <c r="R69" s="331"/>
      <c r="S69" s="331"/>
      <c r="T69" s="331">
        <v>10.199999999999999</v>
      </c>
      <c r="U69" s="331">
        <v>10.3</v>
      </c>
      <c r="V69" s="305">
        <v>14.1</v>
      </c>
      <c r="W69" s="326">
        <v>20.399999999999999</v>
      </c>
      <c r="X69" s="373"/>
      <c r="Y69" s="977"/>
    </row>
    <row r="70" spans="1:25" ht="15" customHeight="1" thickBot="1">
      <c r="A70" s="1280"/>
      <c r="B70" s="1285"/>
      <c r="C70" s="1286"/>
      <c r="D70" s="412" t="s">
        <v>339</v>
      </c>
      <c r="E70" s="305"/>
      <c r="F70" s="305"/>
      <c r="G70" s="305"/>
      <c r="H70" s="305"/>
      <c r="I70" s="305"/>
      <c r="J70" s="357">
        <f t="shared" ref="J70:T70" si="14">+J69-J68</f>
        <v>0.39999999999999947</v>
      </c>
      <c r="K70" s="357"/>
      <c r="L70" s="357"/>
      <c r="M70" s="357"/>
      <c r="N70" s="357"/>
      <c r="O70" s="357">
        <f t="shared" si="14"/>
        <v>-0.30000000000000071</v>
      </c>
      <c r="P70" s="357"/>
      <c r="Q70" s="357"/>
      <c r="R70" s="357"/>
      <c r="S70" s="357"/>
      <c r="T70" s="357">
        <f t="shared" si="14"/>
        <v>-1.3000000000000007</v>
      </c>
      <c r="U70" s="357">
        <f>+U69-U68</f>
        <v>1.3000000000000007</v>
      </c>
      <c r="V70" s="357">
        <f>+V69-V68</f>
        <v>-0.80000000000000071</v>
      </c>
      <c r="W70" s="357">
        <f>+W69-W68</f>
        <v>2</v>
      </c>
      <c r="X70" s="669"/>
      <c r="Y70" s="977"/>
    </row>
    <row r="71" spans="1:25" ht="15.75" customHeight="1" thickBot="1">
      <c r="A71" s="1280"/>
      <c r="B71" s="1282" t="s">
        <v>246</v>
      </c>
      <c r="C71" s="1244"/>
      <c r="D71" s="14"/>
      <c r="E71" s="96">
        <v>2005</v>
      </c>
      <c r="F71" s="96">
        <v>2006</v>
      </c>
      <c r="G71" s="96">
        <v>2007</v>
      </c>
      <c r="H71" s="96">
        <v>2008</v>
      </c>
      <c r="I71" s="96">
        <v>2009</v>
      </c>
      <c r="J71" s="96">
        <v>2010</v>
      </c>
      <c r="K71" s="96">
        <v>2011</v>
      </c>
      <c r="L71" s="96">
        <v>2012</v>
      </c>
      <c r="M71" s="96">
        <v>2013</v>
      </c>
      <c r="N71" s="96">
        <v>2014</v>
      </c>
      <c r="O71" s="96">
        <v>2015</v>
      </c>
      <c r="P71" s="96">
        <v>2016</v>
      </c>
      <c r="Q71" s="96">
        <v>2017</v>
      </c>
      <c r="R71" s="96">
        <v>2018</v>
      </c>
      <c r="S71" s="96">
        <v>2019</v>
      </c>
      <c r="T71" s="96">
        <v>2020</v>
      </c>
      <c r="U71" s="96">
        <v>2021</v>
      </c>
      <c r="V71" s="96">
        <v>2022</v>
      </c>
      <c r="W71" s="15">
        <v>2023</v>
      </c>
      <c r="X71" s="15">
        <v>2024</v>
      </c>
      <c r="Y71" s="978"/>
    </row>
    <row r="72" spans="1:25" ht="15.65" customHeight="1">
      <c r="A72" s="1280"/>
      <c r="B72" s="1228" t="s">
        <v>487</v>
      </c>
      <c r="C72" s="1283"/>
      <c r="D72" s="407" t="s">
        <v>336</v>
      </c>
      <c r="E72" s="321"/>
      <c r="F72" s="321"/>
      <c r="G72" s="321"/>
      <c r="H72" s="321"/>
      <c r="I72" s="321"/>
      <c r="J72" s="351">
        <v>13.5</v>
      </c>
      <c r="K72" s="351"/>
      <c r="L72" s="351"/>
      <c r="M72" s="351"/>
      <c r="N72" s="351"/>
      <c r="O72" s="351">
        <v>9.6999999999999993</v>
      </c>
      <c r="P72" s="351"/>
      <c r="Q72" s="351"/>
      <c r="R72" s="351"/>
      <c r="S72" s="351"/>
      <c r="T72" s="351">
        <v>9.6999999999999993</v>
      </c>
      <c r="U72" s="351">
        <v>12.8</v>
      </c>
      <c r="V72" s="352">
        <v>10.1</v>
      </c>
      <c r="W72" s="1077">
        <v>14.1</v>
      </c>
      <c r="X72" s="353"/>
    </row>
    <row r="73" spans="1:25" ht="14.5" customHeight="1">
      <c r="A73" s="1280"/>
      <c r="B73" s="1229"/>
      <c r="C73" s="1284"/>
      <c r="D73" s="408" t="s">
        <v>337</v>
      </c>
      <c r="E73" s="305"/>
      <c r="F73" s="305"/>
      <c r="G73" s="305"/>
      <c r="H73" s="305"/>
      <c r="I73" s="305"/>
      <c r="J73" s="331">
        <v>12.1</v>
      </c>
      <c r="K73" s="331"/>
      <c r="L73" s="331"/>
      <c r="M73" s="331"/>
      <c r="N73" s="331"/>
      <c r="O73" s="331">
        <v>9.4</v>
      </c>
      <c r="P73" s="331"/>
      <c r="Q73" s="331"/>
      <c r="R73" s="331"/>
      <c r="S73" s="331"/>
      <c r="T73" s="331">
        <v>11</v>
      </c>
      <c r="U73" s="331">
        <v>13.1</v>
      </c>
      <c r="V73" s="305">
        <v>10.199999999999999</v>
      </c>
      <c r="W73" s="326">
        <v>14.3</v>
      </c>
      <c r="X73" s="326"/>
    </row>
    <row r="74" spans="1:25" ht="14.5" customHeight="1">
      <c r="A74" s="1280"/>
      <c r="B74" s="1229"/>
      <c r="C74" s="1284"/>
      <c r="D74" s="408" t="s">
        <v>338</v>
      </c>
      <c r="E74" s="305"/>
      <c r="F74" s="305"/>
      <c r="G74" s="305"/>
      <c r="H74" s="305"/>
      <c r="I74" s="305"/>
      <c r="J74" s="331">
        <v>14.8</v>
      </c>
      <c r="K74" s="331"/>
      <c r="L74" s="331"/>
      <c r="M74" s="331"/>
      <c r="N74" s="331"/>
      <c r="O74" s="331">
        <v>10</v>
      </c>
      <c r="P74" s="331"/>
      <c r="Q74" s="331"/>
      <c r="R74" s="331"/>
      <c r="S74" s="331"/>
      <c r="T74" s="331">
        <v>8.5</v>
      </c>
      <c r="U74" s="331">
        <v>12.5</v>
      </c>
      <c r="V74" s="305">
        <v>10</v>
      </c>
      <c r="W74" s="326">
        <v>13.9</v>
      </c>
      <c r="X74" s="326"/>
    </row>
    <row r="75" spans="1:25" ht="15" customHeight="1" thickBot="1">
      <c r="A75" s="1281"/>
      <c r="B75" s="1285"/>
      <c r="C75" s="1286"/>
      <c r="D75" s="141" t="s">
        <v>339</v>
      </c>
      <c r="E75" s="329"/>
      <c r="F75" s="329"/>
      <c r="G75" s="329"/>
      <c r="H75" s="329"/>
      <c r="I75" s="329"/>
      <c r="J75" s="332">
        <f t="shared" ref="J75:W75" si="15">+J74-J73</f>
        <v>2.7000000000000011</v>
      </c>
      <c r="K75" s="332"/>
      <c r="L75" s="332"/>
      <c r="M75" s="332"/>
      <c r="N75" s="332"/>
      <c r="O75" s="332">
        <f t="shared" si="15"/>
        <v>0.59999999999999964</v>
      </c>
      <c r="P75" s="332"/>
      <c r="Q75" s="332"/>
      <c r="R75" s="332"/>
      <c r="S75" s="332"/>
      <c r="T75" s="332">
        <f t="shared" si="15"/>
        <v>-2.5</v>
      </c>
      <c r="U75" s="332">
        <f t="shared" si="15"/>
        <v>-0.59999999999999964</v>
      </c>
      <c r="V75" s="332">
        <f t="shared" si="15"/>
        <v>-0.19999999999999929</v>
      </c>
      <c r="W75" s="332">
        <f t="shared" si="15"/>
        <v>-0.40000000000000036</v>
      </c>
      <c r="X75" s="328"/>
    </row>
    <row r="76" spans="1:25" ht="15.75" customHeight="1">
      <c r="A76" s="666"/>
      <c r="X76" s="977"/>
      <c r="Y76" s="977"/>
    </row>
    <row r="77" spans="1:25" ht="15.65" customHeight="1">
      <c r="A77" s="666"/>
    </row>
    <row r="78" spans="1:25" ht="14.5" customHeight="1">
      <c r="A78" s="666"/>
    </row>
    <row r="79" spans="1:25" ht="14.5" customHeight="1">
      <c r="A79" s="666"/>
    </row>
    <row r="80" spans="1:25" ht="15" customHeight="1">
      <c r="A80" s="666"/>
    </row>
    <row r="81" spans="1:1" ht="15" customHeight="1">
      <c r="A81" s="666"/>
    </row>
  </sheetData>
  <mergeCells count="31">
    <mergeCell ref="B33:C33"/>
    <mergeCell ref="B29:C29"/>
    <mergeCell ref="B50:C54"/>
    <mergeCell ref="B34:C37"/>
    <mergeCell ref="C39:C43"/>
    <mergeCell ref="B39:B48"/>
    <mergeCell ref="C44:C48"/>
    <mergeCell ref="B38:C38"/>
    <mergeCell ref="B2:C2"/>
    <mergeCell ref="B8:C8"/>
    <mergeCell ref="B14:C14"/>
    <mergeCell ref="B19:C19"/>
    <mergeCell ref="B15:C18"/>
    <mergeCell ref="B3:C7"/>
    <mergeCell ref="B9:C13"/>
    <mergeCell ref="A34:A60"/>
    <mergeCell ref="A62:A75"/>
    <mergeCell ref="A3:A32"/>
    <mergeCell ref="B24:C24"/>
    <mergeCell ref="B20:C23"/>
    <mergeCell ref="B25:C28"/>
    <mergeCell ref="B30:C32"/>
    <mergeCell ref="B55:C55"/>
    <mergeCell ref="B71:C71"/>
    <mergeCell ref="B66:C66"/>
    <mergeCell ref="B61:C61"/>
    <mergeCell ref="B49:C49"/>
    <mergeCell ref="B56:C60"/>
    <mergeCell ref="B72:C75"/>
    <mergeCell ref="B67:C70"/>
    <mergeCell ref="B62:C65"/>
  </mergeCells>
  <conditionalFormatting sqref="E13:I13 O47:T48 J65:W65">
    <cfRule type="cellIs" dxfId="193" priority="81" operator="lessThan">
      <formula>0</formula>
    </cfRule>
    <cfRule type="cellIs" dxfId="192" priority="82" operator="greaterThan">
      <formula>0</formula>
    </cfRule>
  </conditionalFormatting>
  <conditionalFormatting sqref="E6:W6">
    <cfRule type="cellIs" dxfId="191" priority="54" operator="greaterThan">
      <formula>0</formula>
    </cfRule>
  </conditionalFormatting>
  <conditionalFormatting sqref="E6:W7">
    <cfRule type="cellIs" dxfId="190" priority="17" operator="lessThan">
      <formula>0</formula>
    </cfRule>
  </conditionalFormatting>
  <conditionalFormatting sqref="E18:W18 J23:W23 J28:O28 T28:W28 J70:W70 J75:W75">
    <cfRule type="cellIs" dxfId="189" priority="77" operator="lessThan">
      <formula>0</formula>
    </cfRule>
    <cfRule type="cellIs" dxfId="188" priority="78" operator="greaterThan">
      <formula>0</formula>
    </cfRule>
  </conditionalFormatting>
  <conditionalFormatting sqref="E32:W32 E42:Y42">
    <cfRule type="cellIs" dxfId="187" priority="35" operator="lessThan">
      <formula>0</formula>
    </cfRule>
    <cfRule type="cellIs" dxfId="186" priority="36" operator="greaterThan">
      <formula>0</formula>
    </cfRule>
  </conditionalFormatting>
  <conditionalFormatting sqref="J12:Y13">
    <cfRule type="cellIs" dxfId="185" priority="5" operator="lessThan">
      <formula>0</formula>
    </cfRule>
    <cfRule type="cellIs" dxfId="184" priority="6" operator="greaterThan">
      <formula>0</formula>
    </cfRule>
  </conditionalFormatting>
  <conditionalFormatting sqref="O37:X37 T59:X59">
    <cfRule type="cellIs" dxfId="183" priority="11" operator="lessThan">
      <formula>0</formula>
    </cfRule>
  </conditionalFormatting>
  <conditionalFormatting sqref="T59:X59 O37:X37">
    <cfRule type="cellIs" dxfId="182" priority="12" operator="greaterThan">
      <formula>0</formula>
    </cfRule>
  </conditionalFormatting>
  <conditionalFormatting sqref="T60:X60">
    <cfRule type="cellIs" dxfId="181" priority="18" operator="lessThan">
      <formula>0</formula>
    </cfRule>
  </conditionalFormatting>
  <conditionalFormatting sqref="U43:Y43">
    <cfRule type="cellIs" dxfId="180" priority="16" operator="greaterThan">
      <formula>0</formula>
    </cfRule>
    <cfRule type="cellIs" dxfId="179" priority="28" operator="greaterThan">
      <formula>100</formula>
    </cfRule>
  </conditionalFormatting>
  <conditionalFormatting sqref="U47:Y48">
    <cfRule type="cellIs" dxfId="178" priority="1" operator="greaterThan">
      <formula>0</formula>
    </cfRule>
  </conditionalFormatting>
  <conditionalFormatting sqref="X53:X54 T59:X60">
    <cfRule type="cellIs" dxfId="177" priority="9" operator="greaterThan">
      <formula>0</formula>
    </cfRule>
  </conditionalFormatting>
  <conditionalFormatting sqref="X47:Y47">
    <cfRule type="cellIs" dxfId="176" priority="3" operator="lessThan">
      <formula>0</formula>
    </cfRule>
  </conditionalFormatting>
  <conditionalFormatting sqref="X48:Y48">
    <cfRule type="cellIs" dxfId="175" priority="2" operator="greaterThan">
      <formula>100</formula>
    </cfRule>
  </conditionalFormatting>
  <hyperlinks>
    <hyperlink ref="Z1" location="INDICE!A22" display="SIGEM" xr:uid="{1C08C388-06B9-4509-8157-B5E6A0F58333}"/>
    <hyperlink ref="B3:C7" location="INDICE!A20" display="4.1 Salario bruto medio por hora (€)" xr:uid="{198621A7-27BE-4F82-ABC7-24AC82BBCEAD}"/>
    <hyperlink ref="B9:C13" location="INDICE!A20" display="4.2 Importe medio mensual de pensiones contributivas (€)" xr:uid="{F850C5AA-E149-46BE-ACEE-A3DE2BED26C7}"/>
    <hyperlink ref="B15:C18" location="INDICE!A20" display="4.3 Tasa de riesgo de pobreza o exclusión social (Indicador AROPE)" xr:uid="{BC0E6335-9C65-4F4B-BF4C-7894358F9C5E}"/>
    <hyperlink ref="B20:C23" location="INDICE!A20" display="4.4 Tasa de riesgo de pobreza" xr:uid="{F18F99BC-5A80-44BE-A6A3-C0E22C733569}"/>
    <hyperlink ref="B25:C28" location="INDICE!A20" display="4.5 Porcentaje de la población con dificultad o mucha dificultad para llegar a final de mes" xr:uid="{4E8A6DE1-D6E6-4B01-B997-704718E53626}"/>
    <hyperlink ref="B30:C32" location="INDICE!A20" display="4.6 Tasa de riesgo de pobreza del total de hogares y de los hogares monoparentales/monomarentales (%)" xr:uid="{5EA5242D-35A6-4804-B145-DE04FE397E50}"/>
    <hyperlink ref="B34:C37" location="INDICE!A20" display="4.7 Porcentaje de la población parada que percibe prestación por desempleo (%)" xr:uid="{864B23E6-B7D0-470C-9E3A-02C2FA1BDB7B}"/>
    <hyperlink ref="B39:B48" location="INDICE!A20" display="4.8  Titulares de la Renta mínima inserción (N)" xr:uid="{6D22793D-83FF-4314-A1C4-DD992953DD31}"/>
    <hyperlink ref="B50:C54" location="INDICE!A20" display="4.9 Personas beneficiarias del Ingreso Mínimo Vital (N)" xr:uid="{FFB29669-F641-43B8-A9DA-E33D1469C893}"/>
    <hyperlink ref="B62:C65" location="INDICE!A20" display="4.10 Hogares con vivienda en propiedad según sexo de la persona responsable del hogar (%)" xr:uid="{DA0BDF59-46B8-4E52-8EE2-E36DABCE3E41}"/>
    <hyperlink ref="B67:C70" location="INDICE!A20" display="4.11 Población que no puede permitirse mantener la vivienda con una temperatura adecuada (%)" xr:uid="{26506C68-9F25-46AB-89C0-E305B78EA42A}"/>
    <hyperlink ref="B72:C75" location="INDICE!A20" display="4.12 Población que ha tenido retrasos en pago de gastos relacionados con la vivienda en los últimos 12 meses (%)" xr:uid="{4EC41B0F-545F-44A0-BA7C-BAF15479E98C}"/>
    <hyperlink ref="B56:C60" location="INDICE!A20" display="4.13 Personas atendidas en Atención Social Primaria de Centros de Servicios Sociales" xr:uid="{7A007E8C-2836-4A4A-B9E2-1B566B67CD30}"/>
  </hyperlinks>
  <pageMargins left="0.7" right="0.7" top="0.75" bottom="0.75" header="0.3" footer="0.3"/>
  <pageSetup paperSize="9" orientation="portrait" horizontalDpi="1200" verticalDpi="1200" r:id="rId1"/>
  <ignoredErrors>
    <ignoredError sqref="E6 J6 O6 T6:W6" unlockedFormula="1"/>
    <ignoredError sqref="V4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C2F9-EE0B-4119-80D8-C32B821DC328}">
  <sheetPr>
    <tabColor theme="7" tint="0.59999389629810485"/>
  </sheetPr>
  <dimension ref="A1:Q150"/>
  <sheetViews>
    <sheetView showGridLines="0" topLeftCell="A23" zoomScale="80" zoomScaleNormal="80" workbookViewId="0">
      <selection activeCell="K134" sqref="K134"/>
    </sheetView>
  </sheetViews>
  <sheetFormatPr baseColWidth="10" defaultColWidth="11.453125" defaultRowHeight="14.5"/>
  <sheetData>
    <row r="1" spans="1:17" ht="32" thickTop="1" thickBot="1">
      <c r="A1" s="24" t="s">
        <v>463</v>
      </c>
      <c r="Q1" s="136" t="s">
        <v>245</v>
      </c>
    </row>
    <row r="2" spans="1:17" ht="15" thickTop="1"/>
    <row r="148" spans="3:6">
      <c r="C148" s="137"/>
      <c r="D148" s="137"/>
      <c r="E148" s="137"/>
      <c r="F148" s="137"/>
    </row>
    <row r="149" spans="3:6">
      <c r="C149" s="137"/>
      <c r="D149" s="137"/>
      <c r="E149" s="137"/>
      <c r="F149" s="137"/>
    </row>
    <row r="150" spans="3:6">
      <c r="C150" s="137"/>
      <c r="D150" s="137"/>
      <c r="E150" s="137"/>
      <c r="F150" s="137"/>
    </row>
  </sheetData>
  <hyperlinks>
    <hyperlink ref="Q1" location="INDICE!A23" display="SIGEM" xr:uid="{E4E50BF5-70FA-4BE1-AE8F-8CA30450738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C39-2206-4166-B4DB-110DB1CFD280}">
  <sheetPr>
    <tabColor theme="7" tint="0.59999389629810485"/>
  </sheetPr>
  <dimension ref="A1:DD98"/>
  <sheetViews>
    <sheetView showGridLines="0" topLeftCell="A86" zoomScale="90" zoomScaleNormal="90" workbookViewId="0">
      <selection activeCell="E7" sqref="E7"/>
    </sheetView>
  </sheetViews>
  <sheetFormatPr baseColWidth="10" defaultColWidth="11.453125" defaultRowHeight="14.5"/>
  <cols>
    <col min="1" max="1" width="20.1796875" style="21" customWidth="1"/>
    <col min="2" max="2" width="133" style="304" customWidth="1"/>
    <col min="3" max="3" width="6" style="21" customWidth="1"/>
    <col min="4" max="16384" width="11.453125" style="21"/>
  </cols>
  <sheetData>
    <row r="1" spans="1:4" ht="28.5" customHeight="1" thickTop="1" thickBot="1">
      <c r="A1" s="1297" t="s">
        <v>463</v>
      </c>
      <c r="B1" s="1297"/>
      <c r="D1" s="148" t="s">
        <v>245</v>
      </c>
    </row>
    <row r="2" spans="1:4" ht="17.149999999999999" customHeight="1">
      <c r="A2" s="1298" t="s">
        <v>488</v>
      </c>
      <c r="B2" s="1299"/>
    </row>
    <row r="3" spans="1:4" ht="58">
      <c r="A3" s="580" t="s">
        <v>263</v>
      </c>
      <c r="B3" s="581" t="s">
        <v>489</v>
      </c>
    </row>
    <row r="4" spans="1:4" ht="43.5">
      <c r="A4" s="582" t="s">
        <v>265</v>
      </c>
      <c r="B4" s="589" t="s">
        <v>490</v>
      </c>
    </row>
    <row r="5" spans="1:4">
      <c r="A5" s="582" t="s">
        <v>324</v>
      </c>
      <c r="B5" s="583" t="s">
        <v>432</v>
      </c>
    </row>
    <row r="6" spans="1:4" ht="33.65" customHeight="1">
      <c r="A6" s="582" t="s">
        <v>269</v>
      </c>
      <c r="B6" s="584" t="s">
        <v>491</v>
      </c>
    </row>
    <row r="7" spans="1:4">
      <c r="A7" s="582" t="s">
        <v>271</v>
      </c>
      <c r="B7" s="583" t="s">
        <v>492</v>
      </c>
    </row>
    <row r="8" spans="1:4">
      <c r="A8" s="582" t="s">
        <v>273</v>
      </c>
      <c r="B8" s="583" t="s">
        <v>430</v>
      </c>
    </row>
    <row r="9" spans="1:4" ht="21.65" customHeight="1">
      <c r="A9" s="1300" t="s">
        <v>493</v>
      </c>
      <c r="B9" s="1301"/>
    </row>
    <row r="10" spans="1:4" ht="29">
      <c r="A10" s="582" t="s">
        <v>263</v>
      </c>
      <c r="B10" s="583" t="s">
        <v>494</v>
      </c>
    </row>
    <row r="11" spans="1:4" ht="58">
      <c r="A11" s="582" t="s">
        <v>265</v>
      </c>
      <c r="B11" s="589" t="s">
        <v>495</v>
      </c>
    </row>
    <row r="12" spans="1:4">
      <c r="A12" s="582" t="s">
        <v>324</v>
      </c>
      <c r="B12" s="583" t="s">
        <v>432</v>
      </c>
    </row>
    <row r="13" spans="1:4">
      <c r="A13" s="582"/>
      <c r="B13" s="584" t="s">
        <v>496</v>
      </c>
    </row>
    <row r="14" spans="1:4">
      <c r="A14" s="582" t="s">
        <v>269</v>
      </c>
      <c r="B14" s="585" t="s">
        <v>497</v>
      </c>
    </row>
    <row r="15" spans="1:4">
      <c r="A15" s="582" t="s">
        <v>271</v>
      </c>
      <c r="B15" s="583" t="s">
        <v>498</v>
      </c>
    </row>
    <row r="16" spans="1:4">
      <c r="A16" s="582" t="s">
        <v>273</v>
      </c>
      <c r="B16" s="583" t="s">
        <v>441</v>
      </c>
    </row>
    <row r="17" spans="1:108" s="36" customFormat="1" ht="21" customHeight="1">
      <c r="A17" s="1300" t="s">
        <v>499</v>
      </c>
      <c r="B17" s="130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row>
    <row r="18" spans="1:108" ht="43.5">
      <c r="A18" s="582" t="s">
        <v>263</v>
      </c>
      <c r="B18" s="583" t="s">
        <v>500</v>
      </c>
    </row>
    <row r="19" spans="1:108" ht="43.5">
      <c r="A19" s="582" t="s">
        <v>265</v>
      </c>
      <c r="B19" s="583" t="s">
        <v>501</v>
      </c>
    </row>
    <row r="20" spans="1:108">
      <c r="A20" s="582" t="s">
        <v>324</v>
      </c>
      <c r="B20" s="583" t="s">
        <v>432</v>
      </c>
    </row>
    <row r="21" spans="1:108">
      <c r="A21" s="1302" t="s">
        <v>269</v>
      </c>
      <c r="B21" s="584" t="s">
        <v>502</v>
      </c>
    </row>
    <row r="22" spans="1:108">
      <c r="A22" s="1303"/>
      <c r="B22" s="584" t="s">
        <v>503</v>
      </c>
    </row>
    <row r="23" spans="1:108">
      <c r="A23" s="582" t="s">
        <v>271</v>
      </c>
      <c r="B23" s="583" t="s">
        <v>504</v>
      </c>
    </row>
    <row r="24" spans="1:108">
      <c r="A24" s="582" t="s">
        <v>273</v>
      </c>
      <c r="B24" s="583" t="s">
        <v>430</v>
      </c>
    </row>
    <row r="25" spans="1:108" ht="21" customHeight="1">
      <c r="A25" s="1300" t="s">
        <v>505</v>
      </c>
      <c r="B25" s="1301"/>
    </row>
    <row r="26" spans="1:108" ht="29">
      <c r="A26" s="582" t="s">
        <v>263</v>
      </c>
      <c r="B26" s="583" t="s">
        <v>506</v>
      </c>
    </row>
    <row r="27" spans="1:108" ht="31" customHeight="1">
      <c r="A27" s="582" t="s">
        <v>265</v>
      </c>
      <c r="B27" s="583" t="s">
        <v>507</v>
      </c>
    </row>
    <row r="28" spans="1:108">
      <c r="A28" s="582" t="s">
        <v>324</v>
      </c>
      <c r="B28" s="583" t="s">
        <v>432</v>
      </c>
    </row>
    <row r="29" spans="1:108">
      <c r="A29" s="582" t="s">
        <v>269</v>
      </c>
      <c r="B29" s="585" t="s">
        <v>508</v>
      </c>
    </row>
    <row r="30" spans="1:108">
      <c r="A30" s="582" t="s">
        <v>271</v>
      </c>
      <c r="B30" s="583" t="s">
        <v>504</v>
      </c>
    </row>
    <row r="31" spans="1:108">
      <c r="A31" s="582" t="s">
        <v>273</v>
      </c>
      <c r="B31" s="583" t="s">
        <v>430</v>
      </c>
    </row>
    <row r="32" spans="1:108" ht="21" customHeight="1">
      <c r="A32" s="1300" t="s">
        <v>509</v>
      </c>
      <c r="B32" s="1301"/>
    </row>
    <row r="33" spans="1:2">
      <c r="A33" s="582" t="s">
        <v>263</v>
      </c>
      <c r="B33" s="583" t="s">
        <v>510</v>
      </c>
    </row>
    <row r="34" spans="1:2" ht="58">
      <c r="A34" s="582" t="s">
        <v>265</v>
      </c>
      <c r="B34" s="583" t="s">
        <v>511</v>
      </c>
    </row>
    <row r="35" spans="1:2">
      <c r="A35" s="582" t="s">
        <v>324</v>
      </c>
      <c r="B35" s="583" t="s">
        <v>432</v>
      </c>
    </row>
    <row r="36" spans="1:2">
      <c r="A36" s="582" t="s">
        <v>269</v>
      </c>
      <c r="B36" s="584" t="s">
        <v>512</v>
      </c>
    </row>
    <row r="37" spans="1:2">
      <c r="A37" s="582" t="s">
        <v>271</v>
      </c>
      <c r="B37" s="583" t="s">
        <v>504</v>
      </c>
    </row>
    <row r="38" spans="1:2">
      <c r="A38" s="582" t="s">
        <v>273</v>
      </c>
      <c r="B38" s="583" t="s">
        <v>430</v>
      </c>
    </row>
    <row r="39" spans="1:2" ht="20.5" customHeight="1">
      <c r="A39" s="1300" t="s">
        <v>513</v>
      </c>
      <c r="B39" s="1301"/>
    </row>
    <row r="40" spans="1:2" ht="29">
      <c r="A40" s="582" t="s">
        <v>263</v>
      </c>
      <c r="B40" s="583" t="s">
        <v>514</v>
      </c>
    </row>
    <row r="41" spans="1:2" ht="46.5" customHeight="1">
      <c r="A41" s="582" t="s">
        <v>265</v>
      </c>
      <c r="B41" s="583" t="s">
        <v>515</v>
      </c>
    </row>
    <row r="42" spans="1:2">
      <c r="A42" s="582" t="s">
        <v>324</v>
      </c>
      <c r="B42" s="583" t="s">
        <v>432</v>
      </c>
    </row>
    <row r="43" spans="1:2">
      <c r="A43" s="582" t="s">
        <v>269</v>
      </c>
      <c r="B43" s="584" t="s">
        <v>516</v>
      </c>
    </row>
    <row r="44" spans="1:2">
      <c r="A44" s="582" t="s">
        <v>282</v>
      </c>
      <c r="B44" s="583" t="s">
        <v>517</v>
      </c>
    </row>
    <row r="45" spans="1:2">
      <c r="A45" s="582" t="s">
        <v>271</v>
      </c>
      <c r="B45" s="583" t="s">
        <v>504</v>
      </c>
    </row>
    <row r="46" spans="1:2">
      <c r="A46" s="582" t="s">
        <v>273</v>
      </c>
      <c r="B46" s="583" t="s">
        <v>430</v>
      </c>
    </row>
    <row r="47" spans="1:2" ht="20.5" customHeight="1">
      <c r="A47" s="1300" t="s">
        <v>518</v>
      </c>
      <c r="B47" s="1301"/>
    </row>
    <row r="48" spans="1:2" ht="29">
      <c r="A48" s="582" t="s">
        <v>263</v>
      </c>
      <c r="B48" s="583" t="s">
        <v>519</v>
      </c>
    </row>
    <row r="49" spans="1:2" ht="58">
      <c r="A49" s="582" t="s">
        <v>265</v>
      </c>
      <c r="B49" s="583" t="s">
        <v>520</v>
      </c>
    </row>
    <row r="50" spans="1:2">
      <c r="A50" s="582" t="s">
        <v>324</v>
      </c>
      <c r="B50" s="583" t="s">
        <v>432</v>
      </c>
    </row>
    <row r="51" spans="1:2">
      <c r="A51" s="582" t="s">
        <v>269</v>
      </c>
      <c r="B51" s="584" t="s">
        <v>521</v>
      </c>
    </row>
    <row r="52" spans="1:2" ht="29">
      <c r="A52" s="582" t="s">
        <v>271</v>
      </c>
      <c r="B52" s="583" t="s">
        <v>522</v>
      </c>
    </row>
    <row r="53" spans="1:2">
      <c r="A53" s="582" t="s">
        <v>273</v>
      </c>
      <c r="B53" s="583" t="s">
        <v>523</v>
      </c>
    </row>
    <row r="54" spans="1:2" ht="20.5" customHeight="1">
      <c r="A54" s="1300" t="s">
        <v>524</v>
      </c>
      <c r="B54" s="1301"/>
    </row>
    <row r="55" spans="1:2">
      <c r="A55" s="582" t="s">
        <v>263</v>
      </c>
      <c r="B55" s="583" t="s">
        <v>525</v>
      </c>
    </row>
    <row r="56" spans="1:2" ht="58">
      <c r="A56" s="582" t="s">
        <v>265</v>
      </c>
      <c r="B56" s="583" t="s">
        <v>526</v>
      </c>
    </row>
    <row r="57" spans="1:2">
      <c r="A57" s="582" t="s">
        <v>324</v>
      </c>
      <c r="B57" s="583" t="s">
        <v>432</v>
      </c>
    </row>
    <row r="58" spans="1:2">
      <c r="A58" s="582" t="s">
        <v>269</v>
      </c>
      <c r="B58" s="583" t="s">
        <v>527</v>
      </c>
    </row>
    <row r="59" spans="1:2">
      <c r="A59" s="582" t="s">
        <v>271</v>
      </c>
      <c r="B59" s="583" t="s">
        <v>458</v>
      </c>
    </row>
    <row r="60" spans="1:2">
      <c r="A60" s="582" t="s">
        <v>273</v>
      </c>
      <c r="B60" s="583" t="s">
        <v>315</v>
      </c>
    </row>
    <row r="61" spans="1:2" ht="21" customHeight="1">
      <c r="A61" s="1300" t="s">
        <v>528</v>
      </c>
      <c r="B61" s="1301"/>
    </row>
    <row r="62" spans="1:2" ht="29">
      <c r="A62" s="582" t="s">
        <v>263</v>
      </c>
      <c r="B62" s="583" t="s">
        <v>529</v>
      </c>
    </row>
    <row r="63" spans="1:2" ht="72.5">
      <c r="A63" s="582" t="s">
        <v>265</v>
      </c>
      <c r="B63" s="583" t="s">
        <v>530</v>
      </c>
    </row>
    <row r="64" spans="1:2">
      <c r="A64" s="582" t="s">
        <v>324</v>
      </c>
      <c r="B64" s="583" t="s">
        <v>531</v>
      </c>
    </row>
    <row r="65" spans="1:2">
      <c r="A65" s="582" t="s">
        <v>269</v>
      </c>
      <c r="B65" s="584" t="s">
        <v>532</v>
      </c>
    </row>
    <row r="66" spans="1:2">
      <c r="A66" s="582" t="s">
        <v>282</v>
      </c>
      <c r="B66" s="586" t="s">
        <v>533</v>
      </c>
    </row>
    <row r="67" spans="1:2" ht="17.149999999999999" customHeight="1">
      <c r="A67" s="582" t="s">
        <v>271</v>
      </c>
      <c r="B67" s="583" t="s">
        <v>534</v>
      </c>
    </row>
    <row r="68" spans="1:2">
      <c r="A68" s="582" t="s">
        <v>273</v>
      </c>
      <c r="B68" s="583" t="s">
        <v>430</v>
      </c>
    </row>
    <row r="69" spans="1:2" ht="21" customHeight="1">
      <c r="A69" s="1300" t="s">
        <v>535</v>
      </c>
      <c r="B69" s="1301"/>
    </row>
    <row r="70" spans="1:2">
      <c r="A70" s="582" t="s">
        <v>263</v>
      </c>
      <c r="B70" s="583" t="s">
        <v>536</v>
      </c>
    </row>
    <row r="71" spans="1:2" ht="72.5">
      <c r="A71" s="582" t="s">
        <v>265</v>
      </c>
      <c r="B71" s="583" t="s">
        <v>537</v>
      </c>
    </row>
    <row r="72" spans="1:2">
      <c r="A72" s="582" t="s">
        <v>324</v>
      </c>
      <c r="B72" s="583" t="s">
        <v>432</v>
      </c>
    </row>
    <row r="73" spans="1:2" ht="29">
      <c r="A73" s="582" t="s">
        <v>269</v>
      </c>
      <c r="B73" s="584" t="s">
        <v>538</v>
      </c>
    </row>
    <row r="74" spans="1:2">
      <c r="A74" s="582" t="s">
        <v>271</v>
      </c>
      <c r="B74" s="583" t="s">
        <v>539</v>
      </c>
    </row>
    <row r="75" spans="1:2">
      <c r="A75" s="587" t="s">
        <v>273</v>
      </c>
      <c r="B75" s="588" t="s">
        <v>315</v>
      </c>
    </row>
    <row r="76" spans="1:2" ht="21" customHeight="1">
      <c r="A76" s="1300" t="s">
        <v>540</v>
      </c>
      <c r="B76" s="1301"/>
    </row>
    <row r="77" spans="1:2">
      <c r="A77" s="582" t="s">
        <v>263</v>
      </c>
      <c r="B77" s="583" t="s">
        <v>541</v>
      </c>
    </row>
    <row r="78" spans="1:2" ht="58">
      <c r="A78" s="582" t="s">
        <v>265</v>
      </c>
      <c r="B78" s="583" t="s">
        <v>542</v>
      </c>
    </row>
    <row r="79" spans="1:2">
      <c r="A79" s="582" t="s">
        <v>324</v>
      </c>
      <c r="B79" s="583" t="s">
        <v>432</v>
      </c>
    </row>
    <row r="80" spans="1:2">
      <c r="A80" s="582" t="s">
        <v>269</v>
      </c>
      <c r="B80" s="584" t="s">
        <v>512</v>
      </c>
    </row>
    <row r="81" spans="1:2" ht="15.65" customHeight="1">
      <c r="A81" s="582" t="s">
        <v>271</v>
      </c>
      <c r="B81" s="583" t="s">
        <v>543</v>
      </c>
    </row>
    <row r="82" spans="1:2">
      <c r="A82" s="582" t="s">
        <v>273</v>
      </c>
      <c r="B82" s="583" t="s">
        <v>430</v>
      </c>
    </row>
    <row r="83" spans="1:2" ht="21" customHeight="1">
      <c r="A83" s="1300" t="s">
        <v>544</v>
      </c>
      <c r="B83" s="1301"/>
    </row>
    <row r="84" spans="1:2">
      <c r="A84" s="582" t="s">
        <v>263</v>
      </c>
      <c r="B84" s="583" t="s">
        <v>545</v>
      </c>
    </row>
    <row r="85" spans="1:2" ht="43.5">
      <c r="A85" s="582" t="s">
        <v>265</v>
      </c>
      <c r="B85" s="583" t="s">
        <v>546</v>
      </c>
    </row>
    <row r="86" spans="1:2">
      <c r="A86" s="582" t="s">
        <v>324</v>
      </c>
      <c r="B86" s="583" t="s">
        <v>432</v>
      </c>
    </row>
    <row r="87" spans="1:2">
      <c r="A87" s="1302" t="s">
        <v>269</v>
      </c>
      <c r="B87" s="584" t="s">
        <v>547</v>
      </c>
    </row>
    <row r="88" spans="1:2">
      <c r="A88" s="1303"/>
      <c r="B88" s="584" t="s">
        <v>548</v>
      </c>
    </row>
    <row r="89" spans="1:2" ht="15.65" customHeight="1">
      <c r="A89" s="582" t="s">
        <v>271</v>
      </c>
      <c r="B89" s="583" t="s">
        <v>543</v>
      </c>
    </row>
    <row r="90" spans="1:2">
      <c r="A90" s="582" t="s">
        <v>273</v>
      </c>
      <c r="B90" s="583" t="s">
        <v>430</v>
      </c>
    </row>
    <row r="91" spans="1:2" ht="20.5" customHeight="1">
      <c r="A91" s="1300" t="s">
        <v>549</v>
      </c>
      <c r="B91" s="1301"/>
    </row>
    <row r="92" spans="1:2">
      <c r="A92" s="582" t="s">
        <v>263</v>
      </c>
      <c r="B92" s="583" t="s">
        <v>550</v>
      </c>
    </row>
    <row r="93" spans="1:2" ht="45" customHeight="1">
      <c r="A93" s="582" t="s">
        <v>265</v>
      </c>
      <c r="B93" s="583" t="s">
        <v>551</v>
      </c>
    </row>
    <row r="94" spans="1:2">
      <c r="A94" s="582" t="s">
        <v>324</v>
      </c>
      <c r="B94" s="583" t="s">
        <v>432</v>
      </c>
    </row>
    <row r="95" spans="1:2">
      <c r="A95" s="1302" t="s">
        <v>269</v>
      </c>
      <c r="B95" s="584" t="s">
        <v>547</v>
      </c>
    </row>
    <row r="96" spans="1:2">
      <c r="A96" s="1303"/>
      <c r="B96" s="584" t="s">
        <v>548</v>
      </c>
    </row>
    <row r="97" spans="1:2" ht="14.15" customHeight="1">
      <c r="A97" s="582" t="s">
        <v>271</v>
      </c>
      <c r="B97" s="583" t="s">
        <v>543</v>
      </c>
    </row>
    <row r="98" spans="1:2">
      <c r="A98" s="582" t="s">
        <v>273</v>
      </c>
      <c r="B98" s="583" t="s">
        <v>430</v>
      </c>
    </row>
  </sheetData>
  <mergeCells count="17">
    <mergeCell ref="A95:A96"/>
    <mergeCell ref="A69:B69"/>
    <mergeCell ref="A91:B91"/>
    <mergeCell ref="A17:B17"/>
    <mergeCell ref="A39:B39"/>
    <mergeCell ref="A47:B47"/>
    <mergeCell ref="A61:B61"/>
    <mergeCell ref="A54:B54"/>
    <mergeCell ref="A76:B76"/>
    <mergeCell ref="A83:B83"/>
    <mergeCell ref="A87:A88"/>
    <mergeCell ref="A1:B1"/>
    <mergeCell ref="A2:B2"/>
    <mergeCell ref="A9:B9"/>
    <mergeCell ref="A25:B25"/>
    <mergeCell ref="A32:B32"/>
    <mergeCell ref="A21:A22"/>
  </mergeCells>
  <hyperlinks>
    <hyperlink ref="D1" location="INDICE!A23" display="SIGEM" xr:uid="{DEC39614-F663-4936-99F0-A2E654A0763A}"/>
    <hyperlink ref="B6" r:id="rId1" display="Encuesta de Estructura Salarial y Encuesta de Condiciones de Vida (INE). Elaboración Subdirección General de Estadística del Ayuntamiento de Madrid." xr:uid="{5E61DB42-16FC-43C4-B192-AB9A2806E80E}"/>
    <hyperlink ref="B22" r:id="rId2" display="INE, Encuesta de Condiciones de Vida. Elaboración por la Subdirección General de Estadística del Ayuntamiento de Madrid." xr:uid="{239C6F8A-5AA8-40F9-9765-BF323FED0BBD}"/>
    <hyperlink ref="B36" r:id="rId3" xr:uid="{3244FA20-837F-4C80-B8F0-5DE08D3FB790}"/>
    <hyperlink ref="B43" r:id="rId4" xr:uid="{16A3C1C8-B8D9-4FD8-A2DB-2006BC1B6229}"/>
    <hyperlink ref="B65" r:id="rId5" xr:uid="{3D2DF98C-5AFC-4CFE-B7F7-BE5F71BAF300}"/>
    <hyperlink ref="B80" r:id="rId6" xr:uid="{4B673AA8-818D-41A4-8F16-657D9EEB4FD0}"/>
    <hyperlink ref="B88" r:id="rId7" display="INE, Encuesta de Condiciones de Vida. Elaboración por la Subdirección General de Estadística del Ayuntamiento de Madrid " xr:uid="{AF8F71A5-1544-4803-8565-6A31B8E3149F}"/>
    <hyperlink ref="B73" r:id="rId8" xr:uid="{E7F514C7-F59A-41E0-A6ED-BC7F5EA305DB}"/>
    <hyperlink ref="B51" r:id="rId9" xr:uid="{E567B9E7-0662-4034-818F-E968A3D390C7}"/>
    <hyperlink ref="B87" r:id="rId10" xr:uid="{363CCBC7-1E94-405C-B8B5-96CF24170CA1}"/>
    <hyperlink ref="B96" r:id="rId11" display="INE, Encuesta de Condiciones de Vida. Elaboración por la Subdirección General de Estadística del Ayuntamiento de Madrid " xr:uid="{1914894F-4F2E-4CE6-9D38-E5C857D02C2E}"/>
    <hyperlink ref="B95" r:id="rId12" xr:uid="{42F2AF1B-53FA-4B93-8D51-F414E46FD2E7}"/>
    <hyperlink ref="B29" r:id="rId13" display="2021 - 2022: INE, Encuesta de Condiciones de Vida. Elaboración por la Subdirección General de Estadística del Ayuntamiento de Madrid." xr:uid="{BCD38BA2-BFA3-4FC1-9A0B-FCAEAEB2651B}"/>
    <hyperlink ref="B21" r:id="rId14" display="2010 - 2021: INE, Encuesta de Condiciones de Vida. Elaboración por la Subdirección General de Estadística del Ayuntamiento de Madrid." xr:uid="{F18C7B3D-CFD0-402E-B04E-C5BD74CD8F87}"/>
    <hyperlink ref="B13" r:id="rId15" xr:uid="{095DC26D-8513-4D7E-8108-DCB9FDD0EB22}"/>
    <hyperlink ref="B14" r:id="rId16" xr:uid="{08261423-4E66-4529-A920-5B752285266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9A6B-D274-4601-9530-D9D4EB651CFF}">
  <sheetPr>
    <tabColor theme="3" tint="0.79998168889431442"/>
  </sheetPr>
  <dimension ref="A1:AC42"/>
  <sheetViews>
    <sheetView showGridLines="0" zoomScale="50" zoomScaleNormal="50" workbookViewId="0">
      <selection activeCell="AA11" sqref="AA11"/>
    </sheetView>
  </sheetViews>
  <sheetFormatPr baseColWidth="10" defaultColWidth="9.1796875" defaultRowHeight="14.5"/>
  <cols>
    <col min="1" max="1" width="53.54296875" bestFit="1" customWidth="1"/>
    <col min="2" max="2" width="11.1796875" customWidth="1"/>
    <col min="3" max="3" width="26.54296875" customWidth="1"/>
    <col min="21" max="21" width="10.26953125" bestFit="1" customWidth="1"/>
  </cols>
  <sheetData>
    <row r="1" spans="1:27" s="42" customFormat="1" ht="37" thickTop="1" thickBot="1">
      <c r="A1" s="53" t="s">
        <v>552</v>
      </c>
      <c r="B1" s="53"/>
      <c r="W1" s="136" t="s">
        <v>245</v>
      </c>
    </row>
    <row r="2" spans="1:27" ht="15.5" thickTop="1" thickBot="1">
      <c r="A2" s="415" t="s">
        <v>246</v>
      </c>
      <c r="B2" s="415"/>
      <c r="C2" s="416"/>
      <c r="D2" s="417">
        <v>2005</v>
      </c>
      <c r="E2" s="417">
        <v>2006</v>
      </c>
      <c r="F2" s="417">
        <v>2007</v>
      </c>
      <c r="G2" s="417">
        <v>2008</v>
      </c>
      <c r="H2" s="417">
        <v>2009</v>
      </c>
      <c r="I2" s="417">
        <v>2010</v>
      </c>
      <c r="J2" s="417">
        <v>2011</v>
      </c>
      <c r="K2" s="417">
        <v>2012</v>
      </c>
      <c r="L2" s="417">
        <v>2013</v>
      </c>
      <c r="M2" s="417">
        <v>2014</v>
      </c>
      <c r="N2" s="417">
        <v>2015</v>
      </c>
      <c r="O2" s="417">
        <v>2016</v>
      </c>
      <c r="P2" s="417">
        <v>2017</v>
      </c>
      <c r="Q2" s="417">
        <v>2018</v>
      </c>
      <c r="R2" s="417">
        <v>2019</v>
      </c>
      <c r="S2" s="417">
        <v>2020</v>
      </c>
      <c r="T2" s="418">
        <v>2021</v>
      </c>
      <c r="U2" s="417">
        <v>2022</v>
      </c>
      <c r="V2" s="418">
        <v>2023</v>
      </c>
    </row>
    <row r="3" spans="1:27">
      <c r="A3" s="1314" t="s">
        <v>553</v>
      </c>
      <c r="B3" s="1317" t="s">
        <v>257</v>
      </c>
      <c r="C3" s="1317"/>
      <c r="D3" s="420">
        <v>82</v>
      </c>
      <c r="E3" s="421"/>
      <c r="F3" s="421"/>
      <c r="G3" s="421"/>
      <c r="H3" s="421"/>
      <c r="I3" s="422">
        <v>83.8</v>
      </c>
      <c r="J3" s="422"/>
      <c r="K3" s="422"/>
      <c r="L3" s="422"/>
      <c r="M3" s="422"/>
      <c r="N3" s="422">
        <v>84.2</v>
      </c>
      <c r="O3" s="422"/>
      <c r="P3" s="422"/>
      <c r="Q3" s="422"/>
      <c r="R3" s="422"/>
      <c r="S3" s="422">
        <v>82.4</v>
      </c>
      <c r="T3" s="423">
        <v>85.1</v>
      </c>
      <c r="U3" s="889">
        <v>85.291596042937712</v>
      </c>
      <c r="V3" s="889">
        <v>86</v>
      </c>
    </row>
    <row r="4" spans="1:27">
      <c r="A4" s="1314"/>
      <c r="B4" s="1318" t="s">
        <v>258</v>
      </c>
      <c r="C4" s="1318"/>
      <c r="D4" s="424">
        <v>78.400000000000006</v>
      </c>
      <c r="E4" s="425"/>
      <c r="F4" s="425"/>
      <c r="G4" s="425"/>
      <c r="H4" s="425"/>
      <c r="I4" s="426">
        <v>80.400000000000006</v>
      </c>
      <c r="J4" s="426"/>
      <c r="K4" s="426"/>
      <c r="L4" s="426"/>
      <c r="M4" s="426"/>
      <c r="N4" s="426">
        <v>81.099999999999994</v>
      </c>
      <c r="O4" s="426"/>
      <c r="P4" s="426"/>
      <c r="Q4" s="426"/>
      <c r="R4" s="426"/>
      <c r="S4" s="426">
        <v>79.3</v>
      </c>
      <c r="T4" s="427">
        <v>82</v>
      </c>
      <c r="U4" s="450">
        <v>82.461531474793702</v>
      </c>
      <c r="V4" s="450">
        <v>83.5</v>
      </c>
      <c r="W4" s="648"/>
    </row>
    <row r="5" spans="1:27">
      <c r="A5" s="1314"/>
      <c r="B5" s="1318" t="s">
        <v>259</v>
      </c>
      <c r="C5" s="1318"/>
      <c r="D5" s="424">
        <v>85.2</v>
      </c>
      <c r="E5" s="425"/>
      <c r="F5" s="425"/>
      <c r="G5" s="425"/>
      <c r="H5" s="425"/>
      <c r="I5" s="426">
        <v>86.5</v>
      </c>
      <c r="J5" s="426"/>
      <c r="K5" s="426"/>
      <c r="L5" s="426"/>
      <c r="M5" s="426"/>
      <c r="N5" s="426">
        <v>86.7</v>
      </c>
      <c r="O5" s="426"/>
      <c r="P5" s="426"/>
      <c r="Q5" s="426"/>
      <c r="R5" s="426"/>
      <c r="S5" s="426">
        <v>85.2</v>
      </c>
      <c r="T5" s="427">
        <v>87.6</v>
      </c>
      <c r="U5" s="450">
        <v>87.598945409051538</v>
      </c>
      <c r="V5" s="450">
        <v>88</v>
      </c>
      <c r="AA5" s="648"/>
    </row>
    <row r="6" spans="1:27" ht="15" thickBot="1">
      <c r="A6" s="1314"/>
      <c r="B6" s="1319" t="s">
        <v>554</v>
      </c>
      <c r="C6" s="1319"/>
      <c r="D6" s="428">
        <f>+D5-D4</f>
        <v>6.7999999999999972</v>
      </c>
      <c r="E6" s="429"/>
      <c r="F6" s="429"/>
      <c r="G6" s="429"/>
      <c r="H6" s="429"/>
      <c r="I6" s="429">
        <f>+I5-I4</f>
        <v>6.0999999999999943</v>
      </c>
      <c r="J6" s="429"/>
      <c r="K6" s="429"/>
      <c r="L6" s="429"/>
      <c r="M6" s="429"/>
      <c r="N6" s="429">
        <f t="shared" ref="N6" si="0">+N5-N4</f>
        <v>5.6000000000000085</v>
      </c>
      <c r="O6" s="429"/>
      <c r="P6" s="429"/>
      <c r="Q6" s="429"/>
      <c r="R6" s="429"/>
      <c r="S6" s="429">
        <f>+S5-S4</f>
        <v>5.9000000000000057</v>
      </c>
      <c r="T6" s="430">
        <f>+T5-T4</f>
        <v>5.5999999999999943</v>
      </c>
      <c r="U6" s="429">
        <f>+U5-U4</f>
        <v>5.137413934257836</v>
      </c>
      <c r="V6" s="429">
        <f>+V5-V4</f>
        <v>4.5</v>
      </c>
    </row>
    <row r="7" spans="1:27" ht="15" thickBot="1">
      <c r="A7" s="431" t="s">
        <v>246</v>
      </c>
      <c r="B7" s="415"/>
      <c r="C7" s="416"/>
      <c r="D7" s="417">
        <v>2005</v>
      </c>
      <c r="E7" s="417">
        <v>2006</v>
      </c>
      <c r="F7" s="417">
        <v>2007</v>
      </c>
      <c r="G7" s="417">
        <v>2008</v>
      </c>
      <c r="H7" s="417">
        <v>2009</v>
      </c>
      <c r="I7" s="417">
        <v>2010</v>
      </c>
      <c r="J7" s="417">
        <v>2011</v>
      </c>
      <c r="K7" s="417">
        <v>2012</v>
      </c>
      <c r="L7" s="417">
        <v>2013</v>
      </c>
      <c r="M7" s="417">
        <v>2014</v>
      </c>
      <c r="N7" s="417">
        <v>2015</v>
      </c>
      <c r="O7" s="417">
        <v>2016</v>
      </c>
      <c r="P7" s="417">
        <v>2017</v>
      </c>
      <c r="Q7" s="417">
        <v>2018</v>
      </c>
      <c r="R7" s="417">
        <v>2019</v>
      </c>
      <c r="S7" s="417">
        <v>2020</v>
      </c>
      <c r="T7" s="418">
        <v>2021</v>
      </c>
      <c r="U7" s="419">
        <v>2022</v>
      </c>
      <c r="V7" s="418">
        <v>2023</v>
      </c>
    </row>
    <row r="8" spans="1:27">
      <c r="A8" s="1315" t="s">
        <v>555</v>
      </c>
      <c r="B8" s="1320" t="s">
        <v>257</v>
      </c>
      <c r="C8" s="1320"/>
      <c r="D8" s="432">
        <v>63.4</v>
      </c>
      <c r="E8" s="432"/>
      <c r="F8" s="432"/>
      <c r="G8" s="432"/>
      <c r="H8" s="432"/>
      <c r="I8" s="433"/>
      <c r="J8" s="433"/>
      <c r="K8" s="433">
        <f>(K9+K10)/2</f>
        <v>63.7</v>
      </c>
      <c r="L8" s="433"/>
      <c r="M8" s="433"/>
      <c r="N8" s="433"/>
      <c r="O8" s="434"/>
      <c r="P8" s="433">
        <v>61.95</v>
      </c>
      <c r="Q8" s="434"/>
      <c r="R8" s="434"/>
      <c r="S8" s="434"/>
      <c r="T8" s="435">
        <v>62.582350322133983</v>
      </c>
      <c r="U8" s="10"/>
      <c r="V8" s="10"/>
    </row>
    <row r="9" spans="1:27">
      <c r="A9" s="1315"/>
      <c r="B9" s="1318" t="s">
        <v>258</v>
      </c>
      <c r="C9" s="1318"/>
      <c r="D9" s="436">
        <v>63.3</v>
      </c>
      <c r="E9" s="436"/>
      <c r="F9" s="436"/>
      <c r="G9" s="436"/>
      <c r="H9" s="436"/>
      <c r="I9" s="437"/>
      <c r="J9" s="437"/>
      <c r="K9" s="437">
        <v>64.08</v>
      </c>
      <c r="L9" s="437"/>
      <c r="M9" s="437"/>
      <c r="N9" s="437"/>
      <c r="O9" s="437"/>
      <c r="P9" s="437">
        <v>62.31</v>
      </c>
      <c r="Q9" s="437"/>
      <c r="R9" s="437"/>
      <c r="S9" s="437"/>
      <c r="T9" s="438">
        <v>63.172283651197226</v>
      </c>
      <c r="U9" s="10"/>
      <c r="V9" s="10"/>
    </row>
    <row r="10" spans="1:27">
      <c r="A10" s="1315"/>
      <c r="B10" s="1318" t="s">
        <v>259</v>
      </c>
      <c r="C10" s="1318"/>
      <c r="D10" s="436">
        <v>63.5</v>
      </c>
      <c r="E10" s="436"/>
      <c r="F10" s="436"/>
      <c r="G10" s="436"/>
      <c r="H10" s="436"/>
      <c r="I10" s="437"/>
      <c r="J10" s="437"/>
      <c r="K10" s="437">
        <v>63.32</v>
      </c>
      <c r="L10" s="437"/>
      <c r="M10" s="437"/>
      <c r="N10" s="437"/>
      <c r="O10" s="437"/>
      <c r="P10" s="437">
        <v>61.65</v>
      </c>
      <c r="Q10" s="437"/>
      <c r="R10" s="437"/>
      <c r="S10" s="437"/>
      <c r="T10" s="438">
        <v>61.990920863109864</v>
      </c>
      <c r="U10" s="10"/>
      <c r="V10" s="10"/>
    </row>
    <row r="11" spans="1:27" ht="15" thickBot="1">
      <c r="A11" s="1315"/>
      <c r="B11" s="1319" t="s">
        <v>554</v>
      </c>
      <c r="C11" s="1319"/>
      <c r="D11" s="439">
        <f t="shared" ref="D11" si="1">+D10-D9</f>
        <v>0.20000000000000284</v>
      </c>
      <c r="E11" s="439"/>
      <c r="F11" s="439"/>
      <c r="G11" s="439"/>
      <c r="H11" s="439"/>
      <c r="I11" s="439"/>
      <c r="J11" s="439"/>
      <c r="K11" s="439">
        <f t="shared" ref="K11" si="2">+K10-K9</f>
        <v>-0.75999999999999801</v>
      </c>
      <c r="L11" s="439"/>
      <c r="M11" s="439"/>
      <c r="N11" s="439"/>
      <c r="O11" s="439"/>
      <c r="P11" s="439">
        <f t="shared" ref="P11" si="3">+P10-P9</f>
        <v>-0.66000000000000369</v>
      </c>
      <c r="Q11" s="439"/>
      <c r="R11" s="439"/>
      <c r="S11" s="439"/>
      <c r="T11" s="439">
        <f>+T10-T9</f>
        <v>-1.1813627880873625</v>
      </c>
      <c r="U11" s="10"/>
      <c r="V11" s="10"/>
    </row>
    <row r="12" spans="1:27" ht="15" thickBot="1">
      <c r="A12" s="431" t="s">
        <v>246</v>
      </c>
      <c r="B12" s="415"/>
      <c r="C12" s="416"/>
      <c r="D12" s="417">
        <v>2005</v>
      </c>
      <c r="E12" s="417">
        <v>2006</v>
      </c>
      <c r="F12" s="417">
        <v>2007</v>
      </c>
      <c r="G12" s="417">
        <v>2008</v>
      </c>
      <c r="H12" s="417">
        <v>2009</v>
      </c>
      <c r="I12" s="417">
        <v>2010</v>
      </c>
      <c r="J12" s="417">
        <v>2011</v>
      </c>
      <c r="K12" s="417">
        <v>2012</v>
      </c>
      <c r="L12" s="417">
        <v>2013</v>
      </c>
      <c r="M12" s="417">
        <v>2014</v>
      </c>
      <c r="N12" s="417">
        <v>2015</v>
      </c>
      <c r="O12" s="417">
        <v>2016</v>
      </c>
      <c r="P12" s="417">
        <v>2017</v>
      </c>
      <c r="Q12" s="417">
        <v>2018</v>
      </c>
      <c r="R12" s="417">
        <v>2019</v>
      </c>
      <c r="S12" s="417">
        <v>2020</v>
      </c>
      <c r="T12" s="418">
        <v>2021</v>
      </c>
      <c r="U12" s="419">
        <v>2022</v>
      </c>
      <c r="V12" s="418">
        <v>2023</v>
      </c>
    </row>
    <row r="13" spans="1:27">
      <c r="A13" s="1316" t="s">
        <v>556</v>
      </c>
      <c r="B13" s="1320" t="s">
        <v>336</v>
      </c>
      <c r="C13" s="1320"/>
      <c r="D13" s="432"/>
      <c r="E13" s="432"/>
      <c r="F13" s="432"/>
      <c r="G13" s="432"/>
      <c r="H13" s="432"/>
      <c r="I13" s="433"/>
      <c r="J13" s="433"/>
      <c r="K13" s="433"/>
      <c r="L13" s="433">
        <v>74.31</v>
      </c>
      <c r="M13" s="433"/>
      <c r="N13" s="433"/>
      <c r="O13" s="434"/>
      <c r="P13" s="433">
        <v>72.349999999999994</v>
      </c>
      <c r="Q13" s="434"/>
      <c r="R13" s="434"/>
      <c r="S13" s="434"/>
      <c r="T13" s="435">
        <f>0.715320399693205*100</f>
        <v>71.532039969320508</v>
      </c>
      <c r="U13" s="10"/>
      <c r="V13" s="10"/>
    </row>
    <row r="14" spans="1:27">
      <c r="A14" s="1316"/>
      <c r="B14" s="1318" t="s">
        <v>337</v>
      </c>
      <c r="C14" s="1318"/>
      <c r="D14" s="436"/>
      <c r="E14" s="436"/>
      <c r="F14" s="436"/>
      <c r="G14" s="436"/>
      <c r="H14" s="436"/>
      <c r="I14" s="437"/>
      <c r="J14" s="437"/>
      <c r="K14" s="437"/>
      <c r="L14" s="437">
        <v>79.03</v>
      </c>
      <c r="M14" s="437"/>
      <c r="N14" s="437"/>
      <c r="O14" s="437"/>
      <c r="P14" s="437">
        <v>77.400000000000006</v>
      </c>
      <c r="Q14" s="437"/>
      <c r="R14" s="437"/>
      <c r="S14" s="437"/>
      <c r="T14" s="438">
        <f>0.766571487846484*100</f>
        <v>76.657148784648399</v>
      </c>
      <c r="U14" s="1"/>
      <c r="V14" s="10"/>
    </row>
    <row r="15" spans="1:27">
      <c r="A15" s="1316"/>
      <c r="B15" s="1318" t="s">
        <v>338</v>
      </c>
      <c r="C15" s="1318"/>
      <c r="D15" s="436"/>
      <c r="E15" s="436"/>
      <c r="F15" s="436"/>
      <c r="G15" s="436"/>
      <c r="H15" s="436"/>
      <c r="I15" s="437"/>
      <c r="J15" s="437"/>
      <c r="K15" s="437"/>
      <c r="L15" s="437">
        <v>70.23</v>
      </c>
      <c r="M15" s="437"/>
      <c r="N15" s="437"/>
      <c r="O15" s="437"/>
      <c r="P15" s="437">
        <v>68</v>
      </c>
      <c r="Q15" s="437"/>
      <c r="R15" s="437"/>
      <c r="S15" s="437"/>
      <c r="T15" s="438">
        <f>0.671589673425218*100</f>
        <v>67.158967342521805</v>
      </c>
      <c r="U15" s="1"/>
      <c r="V15" s="10"/>
    </row>
    <row r="16" spans="1:27" ht="15" thickBot="1">
      <c r="A16" s="1316"/>
      <c r="B16" s="1319" t="s">
        <v>339</v>
      </c>
      <c r="C16" s="1319"/>
      <c r="D16" s="440"/>
      <c r="E16" s="440"/>
      <c r="F16" s="440"/>
      <c r="G16" s="440"/>
      <c r="H16" s="440"/>
      <c r="I16" s="441"/>
      <c r="J16" s="441"/>
      <c r="K16" s="441"/>
      <c r="L16" s="441">
        <f>+L15-L14</f>
        <v>-8.7999999999999972</v>
      </c>
      <c r="M16" s="441"/>
      <c r="N16" s="441"/>
      <c r="O16" s="442"/>
      <c r="P16" s="441">
        <f>+P15-P14</f>
        <v>-9.4000000000000057</v>
      </c>
      <c r="Q16" s="442"/>
      <c r="R16" s="442"/>
      <c r="S16" s="442"/>
      <c r="T16" s="439">
        <f>+T15-T14</f>
        <v>-9.4981814421265938</v>
      </c>
      <c r="U16" s="7"/>
      <c r="V16" s="10"/>
    </row>
    <row r="17" spans="1:29" ht="15" thickBot="1">
      <c r="A17" s="443" t="s">
        <v>246</v>
      </c>
      <c r="B17" s="415"/>
      <c r="C17" s="416"/>
      <c r="D17" s="417">
        <v>2005</v>
      </c>
      <c r="E17" s="417">
        <v>2006</v>
      </c>
      <c r="F17" s="417">
        <v>2007</v>
      </c>
      <c r="G17" s="417">
        <v>2008</v>
      </c>
      <c r="H17" s="417">
        <v>2009</v>
      </c>
      <c r="I17" s="417">
        <v>2010</v>
      </c>
      <c r="J17" s="417">
        <v>2011</v>
      </c>
      <c r="K17" s="417">
        <v>2012</v>
      </c>
      <c r="L17" s="417">
        <v>2013</v>
      </c>
      <c r="M17" s="417">
        <v>2014</v>
      </c>
      <c r="N17" s="417">
        <v>2015</v>
      </c>
      <c r="O17" s="417">
        <v>2016</v>
      </c>
      <c r="P17" s="417">
        <v>2017</v>
      </c>
      <c r="Q17" s="417">
        <v>2018</v>
      </c>
      <c r="R17" s="417">
        <v>2019</v>
      </c>
      <c r="S17" s="417">
        <v>2020</v>
      </c>
      <c r="T17" s="418">
        <v>2021</v>
      </c>
      <c r="U17" s="419">
        <v>2022</v>
      </c>
      <c r="V17" s="418">
        <v>2023</v>
      </c>
    </row>
    <row r="18" spans="1:29">
      <c r="A18" s="1316" t="s">
        <v>557</v>
      </c>
      <c r="B18" s="1320" t="s">
        <v>336</v>
      </c>
      <c r="C18" s="1320"/>
      <c r="D18" s="432"/>
      <c r="E18" s="432"/>
      <c r="F18" s="432"/>
      <c r="G18" s="432"/>
      <c r="H18" s="432"/>
      <c r="I18" s="433"/>
      <c r="J18" s="433"/>
      <c r="K18" s="433"/>
      <c r="L18" s="433">
        <v>69.7</v>
      </c>
      <c r="M18" s="433"/>
      <c r="N18" s="433"/>
      <c r="O18" s="434"/>
      <c r="P18" s="433">
        <v>72.2</v>
      </c>
      <c r="Q18" s="434"/>
      <c r="R18" s="434"/>
      <c r="S18" s="434"/>
      <c r="T18" s="435">
        <f>0.694376659362259*100</f>
        <v>69.437665936225898</v>
      </c>
      <c r="U18" s="10"/>
      <c r="V18" s="10"/>
    </row>
    <row r="19" spans="1:29">
      <c r="A19" s="1316"/>
      <c r="B19" s="1318" t="s">
        <v>337</v>
      </c>
      <c r="C19" s="1318"/>
      <c r="D19" s="436"/>
      <c r="E19" s="436"/>
      <c r="F19" s="436"/>
      <c r="G19" s="436"/>
      <c r="H19" s="436"/>
      <c r="I19" s="437"/>
      <c r="J19" s="437"/>
      <c r="K19" s="437"/>
      <c r="L19" s="437">
        <v>64.52</v>
      </c>
      <c r="M19" s="437"/>
      <c r="N19" s="437"/>
      <c r="O19" s="437"/>
      <c r="P19" s="437">
        <v>66.8</v>
      </c>
      <c r="Q19" s="437"/>
      <c r="R19" s="437"/>
      <c r="S19" s="437"/>
      <c r="T19" s="438">
        <f>0.634147437745915*100</f>
        <v>63.4147437745915</v>
      </c>
      <c r="U19" s="1"/>
      <c r="V19" s="10"/>
    </row>
    <row r="20" spans="1:29">
      <c r="A20" s="1316"/>
      <c r="B20" s="1318" t="s">
        <v>338</v>
      </c>
      <c r="C20" s="1318"/>
      <c r="D20" s="436"/>
      <c r="E20" s="436"/>
      <c r="F20" s="436"/>
      <c r="G20" s="436"/>
      <c r="H20" s="436"/>
      <c r="I20" s="437"/>
      <c r="J20" s="437"/>
      <c r="K20" s="437"/>
      <c r="L20" s="437">
        <v>74.19</v>
      </c>
      <c r="M20" s="437"/>
      <c r="N20" s="437"/>
      <c r="O20" s="437"/>
      <c r="P20" s="437">
        <v>76.7</v>
      </c>
      <c r="Q20" s="437"/>
      <c r="R20" s="437"/>
      <c r="S20" s="437"/>
      <c r="T20" s="438">
        <f>0.746326193411018*100</f>
        <v>74.632619341101801</v>
      </c>
      <c r="U20" s="1"/>
      <c r="V20" s="10"/>
    </row>
    <row r="21" spans="1:29" ht="15" thickBot="1">
      <c r="A21" s="1316"/>
      <c r="B21" s="1319" t="s">
        <v>339</v>
      </c>
      <c r="C21" s="1319"/>
      <c r="D21" s="440"/>
      <c r="E21" s="440"/>
      <c r="F21" s="440"/>
      <c r="G21" s="440"/>
      <c r="H21" s="440"/>
      <c r="I21" s="444"/>
      <c r="J21" s="444"/>
      <c r="K21" s="444"/>
      <c r="L21" s="444">
        <f>+L20-L19</f>
        <v>9.6700000000000017</v>
      </c>
      <c r="M21" s="444"/>
      <c r="N21" s="444"/>
      <c r="O21" s="445"/>
      <c r="P21" s="444">
        <f>+P20-P19</f>
        <v>9.9000000000000057</v>
      </c>
      <c r="Q21" s="445"/>
      <c r="R21" s="445"/>
      <c r="S21" s="442"/>
      <c r="T21" s="446">
        <f>+T20-T19</f>
        <v>11.217875566510301</v>
      </c>
      <c r="U21" s="7"/>
      <c r="V21" s="10"/>
    </row>
    <row r="22" spans="1:29" ht="15" thickBot="1">
      <c r="A22" s="431" t="s">
        <v>246</v>
      </c>
      <c r="B22" s="447"/>
      <c r="C22" s="448"/>
      <c r="D22" s="417">
        <v>2005</v>
      </c>
      <c r="E22" s="417">
        <v>2006</v>
      </c>
      <c r="F22" s="417">
        <v>2007</v>
      </c>
      <c r="G22" s="417">
        <v>2008</v>
      </c>
      <c r="H22" s="417">
        <v>2009</v>
      </c>
      <c r="I22" s="417">
        <v>2010</v>
      </c>
      <c r="J22" s="417">
        <v>2011</v>
      </c>
      <c r="K22" s="417">
        <v>2012</v>
      </c>
      <c r="L22" s="417">
        <v>2013</v>
      </c>
      <c r="M22" s="417">
        <v>2014</v>
      </c>
      <c r="N22" s="417">
        <v>2015</v>
      </c>
      <c r="O22" s="417">
        <v>2016</v>
      </c>
      <c r="P22" s="417">
        <v>2017</v>
      </c>
      <c r="Q22" s="417">
        <v>2018</v>
      </c>
      <c r="R22" s="417">
        <v>2019</v>
      </c>
      <c r="S22" s="417">
        <v>2020</v>
      </c>
      <c r="T22" s="418">
        <v>2021</v>
      </c>
      <c r="U22" s="419">
        <v>2022</v>
      </c>
      <c r="V22" s="418">
        <v>2023</v>
      </c>
    </row>
    <row r="23" spans="1:29">
      <c r="A23" s="1316" t="s">
        <v>558</v>
      </c>
      <c r="B23" s="1320" t="s">
        <v>336</v>
      </c>
      <c r="C23" s="1320"/>
      <c r="D23" s="432">
        <v>16.2</v>
      </c>
      <c r="E23" s="432"/>
      <c r="F23" s="432"/>
      <c r="G23" s="432"/>
      <c r="H23" s="432"/>
      <c r="I23" s="433"/>
      <c r="J23" s="433"/>
      <c r="K23" s="433"/>
      <c r="L23" s="433">
        <v>19.5</v>
      </c>
      <c r="M23" s="433"/>
      <c r="N23" s="433"/>
      <c r="O23" s="434"/>
      <c r="P23" s="433">
        <v>21</v>
      </c>
      <c r="Q23" s="434"/>
      <c r="R23" s="434"/>
      <c r="S23" s="434"/>
      <c r="T23" s="435">
        <v>24.569631105109618</v>
      </c>
      <c r="U23" s="10"/>
      <c r="V23" s="10"/>
    </row>
    <row r="24" spans="1:29">
      <c r="A24" s="1316"/>
      <c r="B24" s="1318" t="s">
        <v>337</v>
      </c>
      <c r="C24" s="1318"/>
      <c r="D24" s="436">
        <v>11.2</v>
      </c>
      <c r="E24" s="436"/>
      <c r="F24" s="436"/>
      <c r="G24" s="436"/>
      <c r="H24" s="436"/>
      <c r="I24" s="437"/>
      <c r="J24" s="437"/>
      <c r="K24" s="437"/>
      <c r="L24" s="437">
        <v>14.9</v>
      </c>
      <c r="M24" s="437"/>
      <c r="N24" s="437"/>
      <c r="O24" s="437"/>
      <c r="P24" s="437">
        <v>16.7</v>
      </c>
      <c r="Q24" s="437"/>
      <c r="R24" s="437"/>
      <c r="S24" s="437"/>
      <c r="T24" s="438">
        <v>18.458815844800885</v>
      </c>
      <c r="U24" s="1"/>
      <c r="V24" s="10"/>
    </row>
    <row r="25" spans="1:29">
      <c r="A25" s="1316"/>
      <c r="B25" s="1318" t="s">
        <v>338</v>
      </c>
      <c r="C25" s="1318"/>
      <c r="D25" s="436">
        <v>20.7</v>
      </c>
      <c r="E25" s="436"/>
      <c r="F25" s="436"/>
      <c r="G25" s="436"/>
      <c r="H25" s="436"/>
      <c r="I25" s="437"/>
      <c r="J25" s="437"/>
      <c r="K25" s="437"/>
      <c r="L25" s="437">
        <v>23.6</v>
      </c>
      <c r="M25" s="437"/>
      <c r="N25" s="437"/>
      <c r="O25" s="437"/>
      <c r="P25" s="437">
        <v>24.6</v>
      </c>
      <c r="Q25" s="437"/>
      <c r="R25" s="437"/>
      <c r="S25" s="437"/>
      <c r="T25" s="438">
        <v>29.693094538678089</v>
      </c>
      <c r="U25" s="1"/>
      <c r="V25" s="10"/>
    </row>
    <row r="26" spans="1:29" ht="15" thickBot="1">
      <c r="A26" s="1316"/>
      <c r="B26" s="1319" t="s">
        <v>339</v>
      </c>
      <c r="C26" s="1319"/>
      <c r="D26" s="444">
        <f>+D25-D24</f>
        <v>9.5</v>
      </c>
      <c r="E26" s="444"/>
      <c r="F26" s="444"/>
      <c r="G26" s="444"/>
      <c r="H26" s="444"/>
      <c r="I26" s="444"/>
      <c r="J26" s="444"/>
      <c r="K26" s="444"/>
      <c r="L26" s="444">
        <f>+L25-L24</f>
        <v>8.7000000000000011</v>
      </c>
      <c r="M26" s="444"/>
      <c r="N26" s="444"/>
      <c r="O26" s="445"/>
      <c r="P26" s="444">
        <f>+P25-P24</f>
        <v>7.9000000000000021</v>
      </c>
      <c r="Q26" s="445"/>
      <c r="R26" s="445"/>
      <c r="S26" s="442"/>
      <c r="T26" s="446">
        <f>+T25-T24</f>
        <v>11.234278693877204</v>
      </c>
      <c r="U26" s="7"/>
      <c r="V26" s="10"/>
    </row>
    <row r="27" spans="1:29" ht="15" thickBot="1">
      <c r="A27" s="431" t="s">
        <v>246</v>
      </c>
      <c r="B27" s="447"/>
      <c r="C27" s="448"/>
      <c r="D27" s="417">
        <v>2005</v>
      </c>
      <c r="E27" s="417">
        <v>2006</v>
      </c>
      <c r="F27" s="417">
        <v>2007</v>
      </c>
      <c r="G27" s="417">
        <v>2008</v>
      </c>
      <c r="H27" s="417">
        <v>2009</v>
      </c>
      <c r="I27" s="417">
        <v>2010</v>
      </c>
      <c r="J27" s="417">
        <v>2011</v>
      </c>
      <c r="K27" s="417">
        <v>2012</v>
      </c>
      <c r="L27" s="417">
        <v>2013</v>
      </c>
      <c r="M27" s="886">
        <v>2014</v>
      </c>
      <c r="N27" s="886">
        <v>2015</v>
      </c>
      <c r="O27" s="886">
        <v>2016</v>
      </c>
      <c r="P27" s="886">
        <v>2017</v>
      </c>
      <c r="Q27" s="886">
        <v>2018</v>
      </c>
      <c r="R27" s="886">
        <v>2019</v>
      </c>
      <c r="S27" s="886">
        <v>2020</v>
      </c>
      <c r="T27" s="887">
        <v>2021</v>
      </c>
      <c r="U27" s="888">
        <v>2022</v>
      </c>
      <c r="V27" s="887">
        <v>2023</v>
      </c>
    </row>
    <row r="28" spans="1:29">
      <c r="A28" s="1312" t="s">
        <v>559</v>
      </c>
      <c r="B28" s="1308" t="s">
        <v>344</v>
      </c>
      <c r="C28" s="1309"/>
      <c r="D28" s="449"/>
      <c r="E28" s="449"/>
      <c r="F28" s="449"/>
      <c r="G28" s="449"/>
      <c r="H28" s="449"/>
      <c r="I28" s="449"/>
      <c r="J28" s="449"/>
      <c r="K28" s="449"/>
      <c r="L28" s="449"/>
      <c r="M28" s="889"/>
      <c r="N28" s="890">
        <v>180040</v>
      </c>
      <c r="O28" s="889"/>
      <c r="P28" s="889"/>
      <c r="Q28" s="889"/>
      <c r="R28" s="889"/>
      <c r="S28" s="890">
        <v>207714</v>
      </c>
      <c r="T28" s="890">
        <v>208944</v>
      </c>
      <c r="U28" s="890">
        <v>215264</v>
      </c>
      <c r="V28" s="10"/>
      <c r="W28" s="676"/>
      <c r="X28" s="647"/>
      <c r="Y28" s="647"/>
      <c r="Z28" s="647"/>
      <c r="AA28" s="647"/>
      <c r="AB28" s="647"/>
      <c r="AC28" s="647"/>
    </row>
    <row r="29" spans="1:29">
      <c r="A29" s="1313"/>
      <c r="B29" s="1304" t="s">
        <v>345</v>
      </c>
      <c r="C29" s="1305"/>
      <c r="D29" s="450"/>
      <c r="E29" s="450"/>
      <c r="F29" s="450"/>
      <c r="G29" s="450"/>
      <c r="H29" s="450"/>
      <c r="I29" s="450"/>
      <c r="J29" s="450"/>
      <c r="K29" s="450"/>
      <c r="L29" s="450"/>
      <c r="M29" s="450"/>
      <c r="N29" s="890">
        <v>86609</v>
      </c>
      <c r="O29" s="450"/>
      <c r="P29" s="450"/>
      <c r="Q29" s="450"/>
      <c r="R29" s="450"/>
      <c r="S29" s="890">
        <v>99335</v>
      </c>
      <c r="T29" s="890">
        <v>99777</v>
      </c>
      <c r="U29" s="890">
        <v>102628</v>
      </c>
      <c r="V29" s="10"/>
      <c r="W29" s="676"/>
      <c r="X29" s="647"/>
      <c r="Y29" s="647"/>
      <c r="Z29" s="647"/>
      <c r="AA29" s="647"/>
      <c r="AB29" s="647"/>
      <c r="AC29" s="647"/>
    </row>
    <row r="30" spans="1:29">
      <c r="A30" s="1313"/>
      <c r="B30" s="1304" t="s">
        <v>346</v>
      </c>
      <c r="C30" s="1305"/>
      <c r="D30" s="450"/>
      <c r="E30" s="450"/>
      <c r="F30" s="450"/>
      <c r="G30" s="450"/>
      <c r="H30" s="450"/>
      <c r="I30" s="450"/>
      <c r="J30" s="450"/>
      <c r="K30" s="450"/>
      <c r="L30" s="450"/>
      <c r="M30" s="450"/>
      <c r="N30" s="890">
        <v>93431</v>
      </c>
      <c r="O30" s="450"/>
      <c r="P30" s="450"/>
      <c r="Q30" s="450"/>
      <c r="R30" s="450"/>
      <c r="S30" s="890">
        <v>108379</v>
      </c>
      <c r="T30" s="890">
        <v>109167</v>
      </c>
      <c r="U30" s="890">
        <v>112636</v>
      </c>
      <c r="V30" s="10"/>
      <c r="W30" s="647"/>
      <c r="X30" s="647"/>
      <c r="Y30" s="647"/>
      <c r="Z30" s="647"/>
      <c r="AA30" s="647"/>
      <c r="AB30" s="647"/>
      <c r="AC30" s="647"/>
    </row>
    <row r="31" spans="1:29" ht="15" thickBot="1">
      <c r="A31" s="1313"/>
      <c r="B31" s="1306" t="s">
        <v>347</v>
      </c>
      <c r="C31" s="1307"/>
      <c r="D31" s="450"/>
      <c r="E31" s="450"/>
      <c r="F31" s="450"/>
      <c r="G31" s="450"/>
      <c r="H31" s="450"/>
      <c r="I31" s="450"/>
      <c r="J31" s="450"/>
      <c r="K31" s="450"/>
      <c r="L31" s="450"/>
      <c r="M31" s="450"/>
      <c r="N31" s="347">
        <f>+N30/N28*100</f>
        <v>51.894578982448344</v>
      </c>
      <c r="O31" s="450"/>
      <c r="P31" s="450"/>
      <c r="Q31" s="450"/>
      <c r="R31" s="450"/>
      <c r="S31" s="347">
        <f t="shared" ref="S31:U31" si="4">+S30/S28*100</f>
        <v>52.177031880373981</v>
      </c>
      <c r="T31" s="347">
        <f t="shared" si="4"/>
        <v>52.247013553870893</v>
      </c>
      <c r="U31" s="347">
        <f t="shared" si="4"/>
        <v>52.324587483276353</v>
      </c>
      <c r="V31" s="10"/>
      <c r="W31" s="647"/>
      <c r="X31" s="647"/>
      <c r="Y31" s="647"/>
      <c r="Z31" s="647"/>
      <c r="AA31" s="647"/>
      <c r="AB31" s="647"/>
      <c r="AC31" s="647"/>
    </row>
    <row r="32" spans="1:29" s="42" customFormat="1">
      <c r="A32" s="1313"/>
      <c r="B32" s="1310" t="s">
        <v>560</v>
      </c>
      <c r="C32" s="1311"/>
      <c r="D32" s="889"/>
      <c r="E32" s="889"/>
      <c r="F32" s="889"/>
      <c r="G32" s="889"/>
      <c r="H32" s="889"/>
      <c r="I32" s="889"/>
      <c r="J32" s="889"/>
      <c r="K32" s="889"/>
      <c r="L32" s="889"/>
      <c r="M32" s="889"/>
      <c r="N32" s="889">
        <v>56.87</v>
      </c>
      <c r="O32" s="889"/>
      <c r="P32" s="889"/>
      <c r="Q32" s="889"/>
      <c r="R32" s="889"/>
      <c r="S32" s="889">
        <v>134.43</v>
      </c>
      <c r="T32" s="889">
        <v>136.13999999999999</v>
      </c>
      <c r="U32" s="889">
        <v>138</v>
      </c>
      <c r="V32" s="10"/>
      <c r="W32" s="891"/>
      <c r="X32" s="891"/>
      <c r="Y32" s="891"/>
      <c r="Z32" s="891"/>
      <c r="AA32" s="891"/>
      <c r="AB32" s="891"/>
      <c r="AC32" s="891"/>
    </row>
    <row r="33" spans="1:29">
      <c r="A33" s="1313"/>
      <c r="B33" s="1304" t="s">
        <v>561</v>
      </c>
      <c r="C33" s="1305"/>
      <c r="D33" s="450"/>
      <c r="E33" s="450"/>
      <c r="F33" s="450"/>
      <c r="G33" s="450"/>
      <c r="H33" s="450"/>
      <c r="I33" s="450"/>
      <c r="J33" s="450"/>
      <c r="K33" s="450"/>
      <c r="L33" s="450"/>
      <c r="M33" s="450"/>
      <c r="N33" s="450">
        <v>58.78</v>
      </c>
      <c r="O33" s="450"/>
      <c r="P33" s="450"/>
      <c r="Q33" s="450"/>
      <c r="R33" s="450"/>
      <c r="S33" s="450">
        <v>56.21</v>
      </c>
      <c r="T33" s="450">
        <v>56.96</v>
      </c>
      <c r="U33" s="450">
        <v>57.65</v>
      </c>
      <c r="V33" s="10"/>
      <c r="W33" s="647"/>
      <c r="X33" s="647"/>
      <c r="Y33" s="647"/>
      <c r="Z33" s="647"/>
      <c r="AA33" s="647"/>
      <c r="AB33" s="647"/>
      <c r="AC33" s="647"/>
    </row>
    <row r="34" spans="1:29">
      <c r="A34" s="1313"/>
      <c r="B34" s="1304" t="s">
        <v>562</v>
      </c>
      <c r="C34" s="1305"/>
      <c r="D34" s="450"/>
      <c r="E34" s="450"/>
      <c r="F34" s="450"/>
      <c r="G34" s="450"/>
      <c r="H34" s="450"/>
      <c r="I34" s="450"/>
      <c r="J34" s="450"/>
      <c r="K34" s="450"/>
      <c r="L34" s="450"/>
      <c r="M34" s="450"/>
      <c r="N34" s="450">
        <v>55.2</v>
      </c>
      <c r="O34" s="450"/>
      <c r="P34" s="450"/>
      <c r="Q34" s="450"/>
      <c r="R34" s="450"/>
      <c r="S34" s="450">
        <v>61.33</v>
      </c>
      <c r="T34" s="450">
        <v>62.32</v>
      </c>
      <c r="U34" s="450">
        <v>64.3</v>
      </c>
      <c r="V34" s="10"/>
      <c r="W34" s="647"/>
      <c r="X34" s="647"/>
      <c r="Y34" s="647"/>
      <c r="Z34" s="647"/>
      <c r="AA34" s="647"/>
      <c r="AB34" s="647"/>
      <c r="AC34" s="647"/>
    </row>
    <row r="35" spans="1:29">
      <c r="A35" s="1313"/>
      <c r="B35" s="1306" t="s">
        <v>563</v>
      </c>
      <c r="C35" s="1307"/>
      <c r="D35" s="450"/>
      <c r="E35" s="450"/>
      <c r="F35" s="450"/>
      <c r="G35" s="450"/>
      <c r="H35" s="450"/>
      <c r="I35" s="450"/>
      <c r="J35" s="450"/>
      <c r="K35" s="450"/>
      <c r="L35" s="450"/>
      <c r="M35" s="450"/>
      <c r="N35" s="444">
        <f>+N34-N33</f>
        <v>-3.5799999999999983</v>
      </c>
      <c r="O35" s="450"/>
      <c r="P35" s="450"/>
      <c r="Q35" s="450"/>
      <c r="R35" s="450"/>
      <c r="S35" s="444">
        <f>+S34-S33</f>
        <v>5.1199999999999974</v>
      </c>
      <c r="T35" s="444">
        <f>+T34-T33</f>
        <v>5.3599999999999994</v>
      </c>
      <c r="U35" s="444">
        <f>+U34-U33</f>
        <v>6.6499999999999986</v>
      </c>
      <c r="V35" s="10"/>
      <c r="W35" s="647"/>
      <c r="X35" s="647"/>
      <c r="Y35" s="647"/>
      <c r="Z35" s="647"/>
      <c r="AA35" s="647"/>
      <c r="AB35" s="647"/>
      <c r="AC35" s="647"/>
    </row>
    <row r="36" spans="1:29">
      <c r="W36" s="647"/>
      <c r="X36" s="647"/>
      <c r="Y36" s="647"/>
      <c r="Z36" s="647"/>
      <c r="AA36" s="647"/>
      <c r="AB36" s="647"/>
      <c r="AC36" s="647"/>
    </row>
    <row r="38" spans="1:29">
      <c r="W38" s="676"/>
      <c r="X38" s="647"/>
      <c r="Y38" s="647"/>
      <c r="Z38" s="647"/>
      <c r="AA38" s="647"/>
    </row>
    <row r="39" spans="1:29">
      <c r="R39" s="676"/>
      <c r="S39" s="647"/>
      <c r="T39" s="647"/>
      <c r="U39" s="647"/>
      <c r="V39" s="647"/>
      <c r="W39" s="647"/>
      <c r="X39" s="664"/>
      <c r="Y39" s="664"/>
      <c r="Z39" s="664"/>
      <c r="AA39" s="664"/>
    </row>
    <row r="40" spans="1:29">
      <c r="R40" s="647"/>
      <c r="W40" s="647"/>
      <c r="X40" s="664"/>
      <c r="Y40" s="664"/>
      <c r="Z40" s="664"/>
      <c r="AA40" s="664"/>
    </row>
    <row r="41" spans="1:29">
      <c r="R41" s="647"/>
      <c r="W41" s="647"/>
      <c r="X41" s="664"/>
      <c r="Y41" s="664"/>
      <c r="Z41" s="664"/>
      <c r="AA41" s="664"/>
    </row>
    <row r="42" spans="1:29" s="453" customFormat="1" ht="19" customHeight="1">
      <c r="L42" s="452" t="s">
        <v>564</v>
      </c>
      <c r="M42" s="452" t="s">
        <v>565</v>
      </c>
      <c r="N42" s="452" t="s">
        <v>566</v>
      </c>
      <c r="O42" s="452"/>
      <c r="Q42" s="452"/>
      <c r="R42" s="647"/>
      <c r="W42" s="452"/>
    </row>
  </sheetData>
  <mergeCells count="34">
    <mergeCell ref="B21:C21"/>
    <mergeCell ref="B23:C23"/>
    <mergeCell ref="B24:C24"/>
    <mergeCell ref="B25:C25"/>
    <mergeCell ref="B26:C26"/>
    <mergeCell ref="B15:C15"/>
    <mergeCell ref="B16:C16"/>
    <mergeCell ref="B18:C18"/>
    <mergeCell ref="B19:C19"/>
    <mergeCell ref="B20:C20"/>
    <mergeCell ref="B9:C9"/>
    <mergeCell ref="B10:C10"/>
    <mergeCell ref="B11:C11"/>
    <mergeCell ref="B13:C13"/>
    <mergeCell ref="B14:C14"/>
    <mergeCell ref="B3:C3"/>
    <mergeCell ref="B4:C4"/>
    <mergeCell ref="B5:C5"/>
    <mergeCell ref="B6:C6"/>
    <mergeCell ref="B8:C8"/>
    <mergeCell ref="A28:A35"/>
    <mergeCell ref="A3:A6"/>
    <mergeCell ref="A8:A11"/>
    <mergeCell ref="A13:A16"/>
    <mergeCell ref="A18:A21"/>
    <mergeCell ref="A23:A26"/>
    <mergeCell ref="B33:C33"/>
    <mergeCell ref="B34:C34"/>
    <mergeCell ref="B35:C35"/>
    <mergeCell ref="B28:C28"/>
    <mergeCell ref="B29:C29"/>
    <mergeCell ref="B30:C30"/>
    <mergeCell ref="B31:C31"/>
    <mergeCell ref="B32:C32"/>
  </mergeCells>
  <conditionalFormatting sqref="D35:M35 O35:R35">
    <cfRule type="cellIs" dxfId="174" priority="33" operator="lessThan">
      <formula>0</formula>
    </cfRule>
    <cfRule type="cellIs" dxfId="173" priority="34" operator="greaterThan">
      <formula>0</formula>
    </cfRule>
  </conditionalFormatting>
  <conditionalFormatting sqref="D26:R26">
    <cfRule type="cellIs" dxfId="172" priority="27" operator="lessThan">
      <formula>0</formula>
    </cfRule>
    <cfRule type="cellIs" dxfId="171" priority="28" operator="greaterThan">
      <formula>0</formula>
    </cfRule>
  </conditionalFormatting>
  <conditionalFormatting sqref="D35:R35">
    <cfRule type="cellIs" dxfId="170" priority="3" operator="lessThan">
      <formula>0</formula>
    </cfRule>
  </conditionalFormatting>
  <conditionalFormatting sqref="D6:V6 D11:T11 S21 S26">
    <cfRule type="cellIs" dxfId="169" priority="39" operator="lessThan">
      <formula>0</formula>
    </cfRule>
    <cfRule type="cellIs" dxfId="168" priority="40" operator="greaterThan">
      <formula>0</formula>
    </cfRule>
  </conditionalFormatting>
  <conditionalFormatting sqref="I21:R21">
    <cfRule type="cellIs" dxfId="167" priority="29" operator="lessThan">
      <formula>0</formula>
    </cfRule>
    <cfRule type="cellIs" dxfId="166" priority="30" operator="greaterThan">
      <formula>0</formula>
    </cfRule>
  </conditionalFormatting>
  <conditionalFormatting sqref="I16:T16">
    <cfRule type="cellIs" dxfId="165" priority="31" operator="lessThan">
      <formula>0</formula>
    </cfRule>
    <cfRule type="cellIs" dxfId="164" priority="32" operator="greaterThan">
      <formula>0</formula>
    </cfRule>
  </conditionalFormatting>
  <conditionalFormatting sqref="N31">
    <cfRule type="cellIs" dxfId="163" priority="1" operator="greaterThan">
      <formula>0</formula>
    </cfRule>
  </conditionalFormatting>
  <conditionalFormatting sqref="N35">
    <cfRule type="cellIs" dxfId="162" priority="4" operator="greaterThan">
      <formula>0</formula>
    </cfRule>
  </conditionalFormatting>
  <conditionalFormatting sqref="S31:U31">
    <cfRule type="cellIs" dxfId="161" priority="2" operator="greaterThan">
      <formula>0</formula>
    </cfRule>
  </conditionalFormatting>
  <conditionalFormatting sqref="S35:U35">
    <cfRule type="cellIs" dxfId="160" priority="5" operator="lessThan">
      <formula>0</formula>
    </cfRule>
    <cfRule type="cellIs" dxfId="159" priority="6" operator="greaterThan">
      <formula>0</formula>
    </cfRule>
  </conditionalFormatting>
  <conditionalFormatting sqref="T21">
    <cfRule type="cellIs" dxfId="158" priority="37" operator="lessThan">
      <formula>0</formula>
    </cfRule>
    <cfRule type="cellIs" dxfId="157" priority="38" operator="greaterThan">
      <formula>0</formula>
    </cfRule>
  </conditionalFormatting>
  <conditionalFormatting sqref="T26">
    <cfRule type="cellIs" dxfId="156" priority="35" operator="lessThan">
      <formula>0</formula>
    </cfRule>
    <cfRule type="cellIs" dxfId="155" priority="36" operator="greaterThan">
      <formula>0</formula>
    </cfRule>
  </conditionalFormatting>
  <hyperlinks>
    <hyperlink ref="W1" location="INDICE!A34" display="SIGEM" xr:uid="{14C1C77C-C949-4C2B-AD59-E542DA9BBA3E}"/>
    <hyperlink ref="A3:A6" location="INDICE!A33" display="5.1 Esperanza de vida al nacer (años)" xr:uid="{46392B60-991D-40A4-8587-0D3A8EE8E7FD}"/>
    <hyperlink ref="A8:A11" location="INDICE!A33" display="5.2 Esperanza de vida en buena salud (años)" xr:uid="{E5F81102-0F9E-44F1-89EE-999BA18B0FC5}"/>
    <hyperlink ref="A13:A16" location="INDICE!A33" display="5.3 Estado de salud percibida (buena o muy buena) (%)" xr:uid="{89885E41-380C-482C-AE4E-564D12EB0D9E}"/>
    <hyperlink ref="A18:A21" location="INDICE!A33" display="5.4 Población que padece algún problema crónico de salud (%)" xr:uid="{1DAFD8B0-7F3E-4C90-8859-9C1BD64C83EA}"/>
    <hyperlink ref="A23:A26" location="INDICE!A33" display="5.5 Población con riesgo de mala salud mental (%)" xr:uid="{A327DBFE-867D-4AB2-AC9A-809F15741A23}"/>
    <hyperlink ref="A28:A35" location="INDICE!A33" display="5.7 Personas con discapacidad reconocida (%)" xr:uid="{6E498344-5DF5-406C-805B-D8601E4CBF70}"/>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5DD5-5436-43C3-98C0-065108E027B5}">
  <sheetPr>
    <tabColor theme="3" tint="0.79998168889431442"/>
  </sheetPr>
  <dimension ref="A1:Q1"/>
  <sheetViews>
    <sheetView showGridLines="0" zoomScale="80" zoomScaleNormal="80" workbookViewId="0">
      <selection activeCell="I12" sqref="I12"/>
    </sheetView>
  </sheetViews>
  <sheetFormatPr baseColWidth="10" defaultColWidth="11.453125" defaultRowHeight="14.5"/>
  <cols>
    <col min="15" max="15" width="12.54296875" customWidth="1"/>
  </cols>
  <sheetData>
    <row r="1" spans="1:17" ht="34.5" thickTop="1" thickBot="1">
      <c r="A1" s="1321" t="s">
        <v>552</v>
      </c>
      <c r="B1" s="1321"/>
      <c r="C1" s="1321"/>
      <c r="D1" s="1321"/>
      <c r="E1" s="1321"/>
      <c r="F1" s="1321"/>
      <c r="G1" s="1321"/>
      <c r="H1" s="1321"/>
      <c r="I1" s="1321"/>
      <c r="J1" s="1321"/>
      <c r="K1" s="1321"/>
      <c r="L1" s="1321"/>
      <c r="M1" s="1321"/>
      <c r="N1" s="1321"/>
      <c r="O1" s="1321"/>
      <c r="Q1" s="136" t="s">
        <v>245</v>
      </c>
    </row>
  </sheetData>
  <mergeCells count="1">
    <mergeCell ref="A1:O1"/>
  </mergeCells>
  <hyperlinks>
    <hyperlink ref="Q1" location="INDICE!A34" display="SIGEM" xr:uid="{93505A96-DB89-4442-BF2D-5BDB497F5F0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8A2A-554A-4EEA-997A-715C91F75913}">
  <sheetPr>
    <tabColor theme="3" tint="0.79998168889431442"/>
  </sheetPr>
  <dimension ref="A1:Q44"/>
  <sheetViews>
    <sheetView zoomScale="90" zoomScaleNormal="90" workbookViewId="0">
      <selection activeCell="B52" sqref="B52"/>
    </sheetView>
  </sheetViews>
  <sheetFormatPr baseColWidth="10" defaultColWidth="11.453125" defaultRowHeight="14.5"/>
  <cols>
    <col min="1" max="1" width="23.453125" style="643" customWidth="1"/>
    <col min="2" max="2" width="136.1796875" style="643" customWidth="1"/>
    <col min="3" max="17" width="11.453125" style="643"/>
    <col min="18" max="16384" width="11.453125" style="11"/>
  </cols>
  <sheetData>
    <row r="1" spans="1:4" ht="32" thickTop="1" thickBot="1">
      <c r="A1" s="602" t="s">
        <v>552</v>
      </c>
      <c r="B1" s="603"/>
      <c r="D1" s="136" t="s">
        <v>245</v>
      </c>
    </row>
    <row r="2" spans="1:4" ht="16.5" customHeight="1">
      <c r="A2" s="1159" t="s">
        <v>567</v>
      </c>
      <c r="B2" s="1160"/>
    </row>
    <row r="3" spans="1:4" ht="29">
      <c r="A3" s="30" t="s">
        <v>263</v>
      </c>
      <c r="B3" s="37" t="s">
        <v>568</v>
      </c>
    </row>
    <row r="4" spans="1:4" ht="29">
      <c r="A4" s="30" t="s">
        <v>265</v>
      </c>
      <c r="B4" s="37" t="s">
        <v>569</v>
      </c>
    </row>
    <row r="5" spans="1:4">
      <c r="A5" s="30" t="s">
        <v>324</v>
      </c>
      <c r="B5" s="37" t="s">
        <v>279</v>
      </c>
    </row>
    <row r="6" spans="1:4">
      <c r="A6" s="30" t="s">
        <v>269</v>
      </c>
      <c r="B6" s="885" t="s">
        <v>570</v>
      </c>
    </row>
    <row r="7" spans="1:4">
      <c r="A7" s="30" t="s">
        <v>271</v>
      </c>
      <c r="B7" s="37" t="s">
        <v>571</v>
      </c>
    </row>
    <row r="8" spans="1:4">
      <c r="A8" s="30" t="s">
        <v>273</v>
      </c>
      <c r="B8" s="37" t="s">
        <v>315</v>
      </c>
    </row>
    <row r="9" spans="1:4" ht="15.75" customHeight="1">
      <c r="A9" s="1161" t="s">
        <v>572</v>
      </c>
      <c r="B9" s="1162"/>
    </row>
    <row r="10" spans="1:4">
      <c r="A10" s="30" t="s">
        <v>263</v>
      </c>
      <c r="B10" s="37" t="s">
        <v>573</v>
      </c>
    </row>
    <row r="11" spans="1:4" ht="29">
      <c r="A11" s="30" t="s">
        <v>265</v>
      </c>
      <c r="B11" s="37" t="s">
        <v>574</v>
      </c>
    </row>
    <row r="12" spans="1:4">
      <c r="A12" s="30" t="s">
        <v>324</v>
      </c>
      <c r="B12" s="37" t="s">
        <v>279</v>
      </c>
    </row>
    <row r="13" spans="1:4" ht="29">
      <c r="A13" s="30" t="s">
        <v>269</v>
      </c>
      <c r="B13" s="140" t="s">
        <v>575</v>
      </c>
    </row>
    <row r="14" spans="1:4" ht="29">
      <c r="A14" s="30" t="s">
        <v>271</v>
      </c>
      <c r="B14" s="37" t="s">
        <v>576</v>
      </c>
    </row>
    <row r="15" spans="1:4">
      <c r="A15" s="30" t="s">
        <v>273</v>
      </c>
      <c r="B15" s="37" t="s">
        <v>430</v>
      </c>
    </row>
    <row r="16" spans="1:4" ht="15.75" customHeight="1">
      <c r="A16" s="1161" t="s">
        <v>577</v>
      </c>
      <c r="B16" s="1162"/>
    </row>
    <row r="17" spans="1:2">
      <c r="A17" s="30" t="s">
        <v>263</v>
      </c>
      <c r="B17" s="37" t="s">
        <v>578</v>
      </c>
    </row>
    <row r="18" spans="1:2" ht="43.5">
      <c r="A18" s="30" t="s">
        <v>265</v>
      </c>
      <c r="B18" s="37" t="s">
        <v>579</v>
      </c>
    </row>
    <row r="19" spans="1:2">
      <c r="A19" s="30" t="s">
        <v>324</v>
      </c>
      <c r="B19" s="37" t="s">
        <v>279</v>
      </c>
    </row>
    <row r="20" spans="1:2">
      <c r="A20" s="30" t="s">
        <v>269</v>
      </c>
      <c r="B20" s="140" t="s">
        <v>580</v>
      </c>
    </row>
    <row r="21" spans="1:2" ht="29">
      <c r="A21" s="30" t="s">
        <v>282</v>
      </c>
      <c r="B21" s="37" t="s">
        <v>581</v>
      </c>
    </row>
    <row r="22" spans="1:2" ht="29">
      <c r="A22" s="30" t="s">
        <v>271</v>
      </c>
      <c r="B22" s="37" t="s">
        <v>582</v>
      </c>
    </row>
    <row r="23" spans="1:2">
      <c r="A23" s="30" t="s">
        <v>273</v>
      </c>
      <c r="B23" s="37" t="s">
        <v>430</v>
      </c>
    </row>
    <row r="24" spans="1:2" ht="15.75" customHeight="1">
      <c r="A24" s="1161" t="s">
        <v>583</v>
      </c>
      <c r="B24" s="1162"/>
    </row>
    <row r="25" spans="1:2" ht="43.5">
      <c r="A25" s="30" t="s">
        <v>263</v>
      </c>
      <c r="B25" s="37" t="s">
        <v>584</v>
      </c>
    </row>
    <row r="26" spans="1:2" ht="43.5">
      <c r="A26" s="30" t="s">
        <v>265</v>
      </c>
      <c r="B26" s="644" t="s">
        <v>585</v>
      </c>
    </row>
    <row r="27" spans="1:2">
      <c r="A27" s="30" t="s">
        <v>324</v>
      </c>
      <c r="B27" s="37" t="s">
        <v>279</v>
      </c>
    </row>
    <row r="28" spans="1:2">
      <c r="A28" s="30" t="s">
        <v>269</v>
      </c>
      <c r="B28" s="140" t="s">
        <v>580</v>
      </c>
    </row>
    <row r="29" spans="1:2" ht="29">
      <c r="A29" s="30" t="s">
        <v>271</v>
      </c>
      <c r="B29" s="37" t="s">
        <v>586</v>
      </c>
    </row>
    <row r="30" spans="1:2">
      <c r="A30" s="30" t="s">
        <v>273</v>
      </c>
      <c r="B30" s="37" t="s">
        <v>430</v>
      </c>
    </row>
    <row r="31" spans="1:2" ht="15.75" customHeight="1">
      <c r="A31" s="1161" t="s">
        <v>587</v>
      </c>
      <c r="B31" s="1162"/>
    </row>
    <row r="32" spans="1:2" ht="43.5">
      <c r="A32" s="30" t="s">
        <v>263</v>
      </c>
      <c r="B32" s="37" t="s">
        <v>588</v>
      </c>
    </row>
    <row r="33" spans="1:2" ht="43.5">
      <c r="A33" s="30" t="s">
        <v>265</v>
      </c>
      <c r="B33" s="37" t="s">
        <v>589</v>
      </c>
    </row>
    <row r="34" spans="1:2">
      <c r="A34" s="30" t="s">
        <v>324</v>
      </c>
      <c r="B34" s="37" t="s">
        <v>279</v>
      </c>
    </row>
    <row r="35" spans="1:2">
      <c r="A35" s="30" t="s">
        <v>269</v>
      </c>
      <c r="B35" s="140" t="s">
        <v>580</v>
      </c>
    </row>
    <row r="36" spans="1:2">
      <c r="A36" s="30" t="s">
        <v>271</v>
      </c>
      <c r="B36" s="37" t="s">
        <v>590</v>
      </c>
    </row>
    <row r="37" spans="1:2">
      <c r="A37" s="30" t="s">
        <v>273</v>
      </c>
      <c r="B37" s="37" t="s">
        <v>430</v>
      </c>
    </row>
    <row r="38" spans="1:2" ht="15.75" customHeight="1">
      <c r="A38" s="1161" t="s">
        <v>559</v>
      </c>
      <c r="B38" s="1162"/>
    </row>
    <row r="39" spans="1:2" ht="29">
      <c r="A39" s="30" t="s">
        <v>263</v>
      </c>
      <c r="B39" s="251" t="s">
        <v>591</v>
      </c>
    </row>
    <row r="40" spans="1:2" ht="43.5">
      <c r="A40" s="30" t="s">
        <v>265</v>
      </c>
      <c r="B40" s="908" t="s">
        <v>592</v>
      </c>
    </row>
    <row r="41" spans="1:2">
      <c r="A41" s="30" t="s">
        <v>324</v>
      </c>
      <c r="B41" s="37" t="s">
        <v>279</v>
      </c>
    </row>
    <row r="42" spans="1:2" ht="33.65" customHeight="1">
      <c r="A42" s="30" t="s">
        <v>269</v>
      </c>
      <c r="B42" s="140" t="s">
        <v>593</v>
      </c>
    </row>
    <row r="43" spans="1:2">
      <c r="A43" s="30" t="s">
        <v>271</v>
      </c>
      <c r="B43" s="37" t="s">
        <v>594</v>
      </c>
    </row>
    <row r="44" spans="1:2">
      <c r="A44" s="30" t="s">
        <v>273</v>
      </c>
      <c r="B44" s="37" t="s">
        <v>315</v>
      </c>
    </row>
  </sheetData>
  <mergeCells count="6">
    <mergeCell ref="A38:B38"/>
    <mergeCell ref="A2:B2"/>
    <mergeCell ref="A9:B9"/>
    <mergeCell ref="A16:B16"/>
    <mergeCell ref="A24:B24"/>
    <mergeCell ref="A31:B31"/>
  </mergeCells>
  <hyperlinks>
    <hyperlink ref="D1" location="INDICE!A34" display="SIGEM" xr:uid="{3E87D137-EC14-4C7A-B053-CE326BB67590}"/>
    <hyperlink ref="B13" r:id="rId1" display="Estudios de Salud de la Ciudad de Madrid, 2014, 2018, 2022. Madrid Salud. Nota: La EVBS del 2005 corresponde a datos del 2004, obtenidos del Estudio de Salud de la Ciudad de Madrid 2008. La EVBS del Estudio de Salud de la Ciudad de Madrid 2014 fue la del año 2012." xr:uid="{397F9899-D5E7-4AAC-94D8-7AAF4F38EA41}"/>
    <hyperlink ref="B20" r:id="rId2" display="Estudios de Salud de la Ciudad de Madrid, 2014, 2018, 2022. Madrid Salud. Nota: los datos de salud autopercibida obtenidos en la Encuesta de Salud de la Ciudad de Madrid 2005, no son comparables ya las categorías que se utilizan para caracterizar un buen estado de salud percibida son“Excelente-Muy bueno-Bueno”." xr:uid="{8EF4E0DA-C2B9-48E9-8B57-212F735C2B9D}"/>
    <hyperlink ref="B28" r:id="rId3" xr:uid="{73164069-A32B-4159-9BE8-43956A305C6F}"/>
    <hyperlink ref="B35" r:id="rId4" xr:uid="{B247F5B7-DCAE-4CF9-B52C-77DBA3BC8688}"/>
    <hyperlink ref="B6" r:id="rId5" xr:uid="{86E23B8D-04EC-4936-9A01-6ED1A826CD9D}"/>
    <hyperlink ref="B42" r:id="rId6" display="https://servpub.madrid.es/CSEBD_WBINTER/seleccionSerie.html?numSerie=1208000000060" xr:uid="{F26CF6D0-415C-47E5-8706-AC1A84484A5C}"/>
  </hyperlinks>
  <pageMargins left="0.7" right="0.7" top="0.75" bottom="0.75" header="0.3" footer="0.3"/>
  <pageSetup paperSize="9" orientation="portrait" verticalDpi="0"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FA3F-334E-4195-8F7C-9E5C54B9D5D6}">
  <sheetPr>
    <tabColor theme="9" tint="0.79998168889431442"/>
  </sheetPr>
  <dimension ref="A1:AH86"/>
  <sheetViews>
    <sheetView showGridLines="0" topLeftCell="B1" zoomScale="60" zoomScaleNormal="60" workbookViewId="0">
      <selection activeCell="Z58" sqref="Z58"/>
    </sheetView>
  </sheetViews>
  <sheetFormatPr baseColWidth="10" defaultColWidth="9.1796875" defaultRowHeight="14.5"/>
  <cols>
    <col min="1" max="1" width="27.453125" bestFit="1" customWidth="1"/>
    <col min="2" max="2" width="47.26953125" customWidth="1"/>
    <col min="3" max="3" width="20.81640625" customWidth="1"/>
    <col min="4" max="4" width="47" bestFit="1" customWidth="1"/>
    <col min="5" max="5" width="16.1796875" bestFit="1" customWidth="1"/>
    <col min="6" max="7" width="16.1796875" hidden="1" customWidth="1"/>
    <col min="8" max="8" width="16.453125" hidden="1" customWidth="1"/>
    <col min="9" max="9" width="15.81640625" bestFit="1" customWidth="1"/>
    <col min="10" max="10" width="14.81640625" bestFit="1" customWidth="1"/>
    <col min="11" max="11" width="14.81640625" hidden="1" customWidth="1"/>
    <col min="12" max="13" width="15.453125" hidden="1" customWidth="1"/>
    <col min="14" max="14" width="15.1796875" hidden="1" customWidth="1"/>
    <col min="15" max="15" width="15.1796875" bestFit="1" customWidth="1"/>
    <col min="16" max="17" width="15.1796875" hidden="1" customWidth="1"/>
    <col min="18" max="18" width="15.453125" hidden="1" customWidth="1"/>
    <col min="19" max="19" width="15.81640625" hidden="1" customWidth="1"/>
    <col min="20" max="21" width="15.81640625" bestFit="1" customWidth="1"/>
    <col min="22" max="23" width="16.453125" bestFit="1" customWidth="1"/>
  </cols>
  <sheetData>
    <row r="1" spans="1:25" ht="32" thickTop="1" thickBot="1">
      <c r="A1" s="24" t="s">
        <v>595</v>
      </c>
      <c r="Y1" s="136" t="s">
        <v>245</v>
      </c>
    </row>
    <row r="2" spans="1:25" ht="16.5" thickTop="1" thickBot="1">
      <c r="A2" s="59" t="s">
        <v>285</v>
      </c>
      <c r="B2" s="1322" t="s">
        <v>246</v>
      </c>
      <c r="C2" s="1337"/>
      <c r="D2" s="1337"/>
      <c r="E2" s="125">
        <v>2005</v>
      </c>
      <c r="F2" s="125">
        <v>2006</v>
      </c>
      <c r="G2" s="125">
        <v>2007</v>
      </c>
      <c r="H2" s="102">
        <v>2008</v>
      </c>
      <c r="I2" s="125">
        <v>2009</v>
      </c>
      <c r="J2" s="68">
        <v>2010</v>
      </c>
      <c r="K2" s="125">
        <v>2011</v>
      </c>
      <c r="L2" s="125">
        <v>2012</v>
      </c>
      <c r="M2" s="125">
        <v>2013</v>
      </c>
      <c r="N2" s="125">
        <v>2014</v>
      </c>
      <c r="O2" s="102">
        <v>2015</v>
      </c>
      <c r="P2" s="125">
        <v>2016</v>
      </c>
      <c r="Q2" s="125">
        <v>2017</v>
      </c>
      <c r="R2" s="125">
        <v>2018</v>
      </c>
      <c r="S2" s="125">
        <v>2019</v>
      </c>
      <c r="T2" s="125">
        <v>2020</v>
      </c>
      <c r="U2" s="125">
        <v>2021</v>
      </c>
      <c r="V2" s="125">
        <v>2022</v>
      </c>
      <c r="W2" s="125">
        <v>2023</v>
      </c>
      <c r="X2" s="125">
        <v>2024</v>
      </c>
    </row>
    <row r="3" spans="1:25" ht="15.5">
      <c r="A3" s="1334" t="s">
        <v>129</v>
      </c>
      <c r="B3" s="1260" t="s">
        <v>596</v>
      </c>
      <c r="C3" s="1338" t="s">
        <v>337</v>
      </c>
      <c r="D3" s="74" t="s">
        <v>597</v>
      </c>
      <c r="E3" s="75"/>
      <c r="F3" s="75"/>
      <c r="G3" s="75"/>
      <c r="H3" s="75"/>
      <c r="I3" s="677">
        <v>100</v>
      </c>
      <c r="J3" s="127"/>
      <c r="K3" s="75"/>
      <c r="L3" s="75"/>
      <c r="M3" s="75"/>
      <c r="N3" s="75"/>
      <c r="O3" s="75"/>
      <c r="P3" s="75"/>
      <c r="Q3" s="75"/>
      <c r="R3" s="75"/>
      <c r="S3" s="75"/>
      <c r="T3" s="75"/>
      <c r="U3" s="75"/>
      <c r="V3" s="75"/>
      <c r="W3" s="76"/>
      <c r="X3" s="76"/>
    </row>
    <row r="4" spans="1:25" ht="15.5">
      <c r="A4" s="1335"/>
      <c r="B4" s="1230"/>
      <c r="C4" s="1339"/>
      <c r="D4" s="77" t="s">
        <v>598</v>
      </c>
      <c r="E4" s="40"/>
      <c r="F4" s="40"/>
      <c r="G4" s="40"/>
      <c r="H4" s="40"/>
      <c r="I4" s="259">
        <v>38.700000000000003</v>
      </c>
      <c r="J4" s="126"/>
      <c r="K4" s="40"/>
      <c r="L4" s="40"/>
      <c r="M4" s="40"/>
      <c r="N4" s="40"/>
      <c r="O4" s="40"/>
      <c r="P4" s="40"/>
      <c r="Q4" s="40"/>
      <c r="R4" s="40"/>
      <c r="S4" s="40"/>
      <c r="T4" s="40"/>
      <c r="U4" s="40"/>
      <c r="V4" s="40"/>
      <c r="W4" s="78"/>
      <c r="X4" s="78"/>
    </row>
    <row r="5" spans="1:25" ht="15.5">
      <c r="A5" s="1335"/>
      <c r="B5" s="1230"/>
      <c r="C5" s="1339"/>
      <c r="D5" s="77" t="s">
        <v>599</v>
      </c>
      <c r="E5" s="40"/>
      <c r="F5" s="40"/>
      <c r="G5" s="40"/>
      <c r="H5" s="40"/>
      <c r="I5" s="259">
        <v>12.7</v>
      </c>
      <c r="J5" s="126"/>
      <c r="K5" s="40"/>
      <c r="L5" s="40"/>
      <c r="M5" s="40"/>
      <c r="N5" s="40"/>
      <c r="O5" s="40"/>
      <c r="P5" s="40"/>
      <c r="Q5" s="40"/>
      <c r="R5" s="40"/>
      <c r="S5" s="40"/>
      <c r="T5" s="40"/>
      <c r="U5" s="40"/>
      <c r="V5" s="40"/>
      <c r="W5" s="78"/>
      <c r="X5" s="78"/>
    </row>
    <row r="6" spans="1:25" ht="15.5">
      <c r="A6" s="1335"/>
      <c r="B6" s="1230"/>
      <c r="C6" s="1339"/>
      <c r="D6" s="77" t="s">
        <v>600</v>
      </c>
      <c r="E6" s="40"/>
      <c r="F6" s="40"/>
      <c r="G6" s="40"/>
      <c r="H6" s="40"/>
      <c r="I6" s="259">
        <v>76.3</v>
      </c>
      <c r="J6" s="126"/>
      <c r="K6" s="40"/>
      <c r="L6" s="40"/>
      <c r="M6" s="40"/>
      <c r="N6" s="40"/>
      <c r="O6" s="40"/>
      <c r="P6" s="40"/>
      <c r="Q6" s="40"/>
      <c r="R6" s="40"/>
      <c r="S6" s="40"/>
      <c r="T6" s="40"/>
      <c r="U6" s="40"/>
      <c r="V6" s="40"/>
      <c r="W6" s="78"/>
      <c r="X6" s="78"/>
    </row>
    <row r="7" spans="1:25" ht="15.5">
      <c r="A7" s="1335"/>
      <c r="B7" s="1230"/>
      <c r="C7" s="1339"/>
      <c r="D7" s="77" t="s">
        <v>601</v>
      </c>
      <c r="E7" s="40"/>
      <c r="F7" s="40"/>
      <c r="G7" s="40"/>
      <c r="H7" s="40"/>
      <c r="I7" s="259">
        <v>8.9</v>
      </c>
      <c r="J7" s="126"/>
      <c r="K7" s="40"/>
      <c r="L7" s="40"/>
      <c r="M7" s="40"/>
      <c r="N7" s="40"/>
      <c r="O7" s="40"/>
      <c r="P7" s="40"/>
      <c r="Q7" s="40"/>
      <c r="R7" s="40"/>
      <c r="S7" s="40"/>
      <c r="T7" s="40"/>
      <c r="U7" s="40"/>
      <c r="V7" s="40"/>
      <c r="W7" s="78"/>
      <c r="X7" s="78"/>
    </row>
    <row r="8" spans="1:25" ht="15.5">
      <c r="A8" s="1335"/>
      <c r="B8" s="1230"/>
      <c r="C8" s="1339"/>
      <c r="D8" s="77" t="s">
        <v>602</v>
      </c>
      <c r="E8" s="40"/>
      <c r="F8" s="40"/>
      <c r="G8" s="40"/>
      <c r="H8" s="40"/>
      <c r="I8" s="259">
        <v>50.6</v>
      </c>
      <c r="J8" s="126"/>
      <c r="K8" s="40"/>
      <c r="L8" s="40"/>
      <c r="M8" s="40"/>
      <c r="N8" s="40"/>
      <c r="O8" s="40"/>
      <c r="P8" s="40"/>
      <c r="Q8" s="40"/>
      <c r="R8" s="40"/>
      <c r="S8" s="40"/>
      <c r="T8" s="40"/>
      <c r="U8" s="40"/>
      <c r="V8" s="40"/>
      <c r="W8" s="78"/>
      <c r="X8" s="78"/>
    </row>
    <row r="9" spans="1:25" ht="15.5">
      <c r="A9" s="1335"/>
      <c r="B9" s="1230"/>
      <c r="C9" s="1339"/>
      <c r="D9" s="77" t="s">
        <v>603</v>
      </c>
      <c r="E9" s="40"/>
      <c r="F9" s="40"/>
      <c r="G9" s="40"/>
      <c r="H9" s="40"/>
      <c r="I9" s="259">
        <v>47.2</v>
      </c>
      <c r="J9" s="126"/>
      <c r="K9" s="40"/>
      <c r="L9" s="40"/>
      <c r="M9" s="40"/>
      <c r="N9" s="40"/>
      <c r="O9" s="40"/>
      <c r="P9" s="40"/>
      <c r="Q9" s="40"/>
      <c r="R9" s="40"/>
      <c r="S9" s="40"/>
      <c r="T9" s="40"/>
      <c r="U9" s="40"/>
      <c r="V9" s="40"/>
      <c r="W9" s="78"/>
      <c r="X9" s="78"/>
    </row>
    <row r="10" spans="1:25" ht="15.5">
      <c r="A10" s="1335"/>
      <c r="B10" s="1230"/>
      <c r="C10" s="1339"/>
      <c r="D10" s="77" t="s">
        <v>604</v>
      </c>
      <c r="E10" s="40"/>
      <c r="F10" s="40"/>
      <c r="G10" s="40"/>
      <c r="H10" s="40"/>
      <c r="I10" s="259">
        <v>40.1</v>
      </c>
      <c r="J10" s="126"/>
      <c r="K10" s="40"/>
      <c r="L10" s="40"/>
      <c r="M10" s="40"/>
      <c r="N10" s="40"/>
      <c r="O10" s="40"/>
      <c r="P10" s="40"/>
      <c r="Q10" s="40"/>
      <c r="R10" s="40"/>
      <c r="S10" s="40"/>
      <c r="T10" s="40"/>
      <c r="U10" s="40"/>
      <c r="V10" s="40"/>
      <c r="W10" s="78"/>
      <c r="X10" s="78"/>
    </row>
    <row r="11" spans="1:25" ht="15.5">
      <c r="A11" s="1335"/>
      <c r="B11" s="1230"/>
      <c r="C11" s="1339"/>
      <c r="D11" s="77" t="s">
        <v>605</v>
      </c>
      <c r="E11" s="40"/>
      <c r="F11" s="40"/>
      <c r="G11" s="40"/>
      <c r="H11" s="40"/>
      <c r="I11" s="259">
        <v>85.5</v>
      </c>
      <c r="J11" s="126"/>
      <c r="K11" s="40"/>
      <c r="L11" s="40"/>
      <c r="M11" s="40"/>
      <c r="N11" s="40"/>
      <c r="O11" s="40"/>
      <c r="P11" s="40"/>
      <c r="Q11" s="40"/>
      <c r="R11" s="40"/>
      <c r="S11" s="40"/>
      <c r="T11" s="40"/>
      <c r="U11" s="40"/>
      <c r="V11" s="40"/>
      <c r="W11" s="78"/>
      <c r="X11" s="78"/>
    </row>
    <row r="12" spans="1:25" ht="15.5">
      <c r="A12" s="1335"/>
      <c r="B12" s="1230"/>
      <c r="C12" s="1339"/>
      <c r="D12" s="77" t="s">
        <v>606</v>
      </c>
      <c r="E12" s="40"/>
      <c r="F12" s="40"/>
      <c r="G12" s="40"/>
      <c r="H12" s="40"/>
      <c r="I12" s="259">
        <v>83.3</v>
      </c>
      <c r="J12" s="126"/>
      <c r="K12" s="40"/>
      <c r="L12" s="40"/>
      <c r="M12" s="40"/>
      <c r="N12" s="40"/>
      <c r="O12" s="40"/>
      <c r="P12" s="40"/>
      <c r="Q12" s="40"/>
      <c r="R12" s="40"/>
      <c r="S12" s="40"/>
      <c r="T12" s="40"/>
      <c r="U12" s="40"/>
      <c r="V12" s="40"/>
      <c r="W12" s="78"/>
      <c r="X12" s="78"/>
    </row>
    <row r="13" spans="1:25" ht="16" thickBot="1">
      <c r="A13" s="1335"/>
      <c r="B13" s="1230"/>
      <c r="C13" s="1339"/>
      <c r="D13" s="119" t="s">
        <v>607</v>
      </c>
      <c r="E13" s="58"/>
      <c r="F13" s="58"/>
      <c r="G13" s="58"/>
      <c r="H13" s="58"/>
      <c r="I13" s="678">
        <v>35.700000000000003</v>
      </c>
      <c r="J13" s="128"/>
      <c r="K13" s="58"/>
      <c r="L13" s="58"/>
      <c r="M13" s="58"/>
      <c r="N13" s="58"/>
      <c r="O13" s="58"/>
      <c r="P13" s="58"/>
      <c r="Q13" s="58"/>
      <c r="R13" s="58"/>
      <c r="S13" s="58"/>
      <c r="T13" s="58"/>
      <c r="U13" s="58"/>
      <c r="V13" s="58"/>
      <c r="W13" s="81"/>
      <c r="X13" s="81"/>
    </row>
    <row r="14" spans="1:25" ht="15.5">
      <c r="A14" s="1335"/>
      <c r="B14" s="1230"/>
      <c r="C14" s="1338" t="s">
        <v>338</v>
      </c>
      <c r="D14" s="74" t="s">
        <v>597</v>
      </c>
      <c r="E14" s="75"/>
      <c r="F14" s="75"/>
      <c r="G14" s="75"/>
      <c r="H14" s="75"/>
      <c r="I14" s="677">
        <v>100</v>
      </c>
      <c r="J14" s="127"/>
      <c r="K14" s="75"/>
      <c r="L14" s="75"/>
      <c r="M14" s="75"/>
      <c r="N14" s="75"/>
      <c r="O14" s="75"/>
      <c r="P14" s="75"/>
      <c r="Q14" s="75"/>
      <c r="R14" s="75"/>
      <c r="S14" s="75"/>
      <c r="T14" s="75"/>
      <c r="U14" s="75"/>
      <c r="V14" s="75"/>
      <c r="W14" s="76"/>
      <c r="X14" s="76"/>
    </row>
    <row r="15" spans="1:25" ht="15.5">
      <c r="A15" s="1335"/>
      <c r="B15" s="1230"/>
      <c r="C15" s="1339"/>
      <c r="D15" s="77" t="s">
        <v>598</v>
      </c>
      <c r="E15" s="40"/>
      <c r="F15" s="40"/>
      <c r="G15" s="40"/>
      <c r="H15" s="40"/>
      <c r="I15" s="259">
        <v>26.9</v>
      </c>
      <c r="J15" s="126"/>
      <c r="K15" s="40"/>
      <c r="L15" s="40"/>
      <c r="M15" s="40"/>
      <c r="N15" s="40"/>
      <c r="O15" s="40"/>
      <c r="P15" s="40"/>
      <c r="Q15" s="40"/>
      <c r="R15" s="40"/>
      <c r="S15" s="40"/>
      <c r="T15" s="40"/>
      <c r="U15" s="40"/>
      <c r="V15" s="40"/>
      <c r="W15" s="78"/>
      <c r="X15" s="78"/>
    </row>
    <row r="16" spans="1:25" ht="15.5">
      <c r="A16" s="1335"/>
      <c r="B16" s="1230"/>
      <c r="C16" s="1339"/>
      <c r="D16" s="77" t="s">
        <v>599</v>
      </c>
      <c r="E16" s="40"/>
      <c r="F16" s="40"/>
      <c r="G16" s="40"/>
      <c r="H16" s="40"/>
      <c r="I16" s="259">
        <v>12.4</v>
      </c>
      <c r="J16" s="126"/>
      <c r="K16" s="40"/>
      <c r="L16" s="40"/>
      <c r="M16" s="40"/>
      <c r="N16" s="40"/>
      <c r="O16" s="40"/>
      <c r="P16" s="40"/>
      <c r="Q16" s="40"/>
      <c r="R16" s="40"/>
      <c r="S16" s="40"/>
      <c r="T16" s="40"/>
      <c r="U16" s="40"/>
      <c r="V16" s="40"/>
      <c r="W16" s="78"/>
      <c r="X16" s="78"/>
    </row>
    <row r="17" spans="1:24" ht="15.5">
      <c r="A17" s="1335"/>
      <c r="B17" s="1230"/>
      <c r="C17" s="1339"/>
      <c r="D17" s="77" t="s">
        <v>600</v>
      </c>
      <c r="E17" s="40"/>
      <c r="F17" s="40"/>
      <c r="G17" s="40"/>
      <c r="H17" s="40"/>
      <c r="I17" s="259">
        <v>89.7</v>
      </c>
      <c r="J17" s="126"/>
      <c r="K17" s="40"/>
      <c r="L17" s="40"/>
      <c r="M17" s="40"/>
      <c r="N17" s="40"/>
      <c r="O17" s="40"/>
      <c r="P17" s="40"/>
      <c r="Q17" s="40"/>
      <c r="R17" s="40"/>
      <c r="S17" s="40"/>
      <c r="T17" s="40"/>
      <c r="U17" s="40"/>
      <c r="V17" s="40"/>
      <c r="W17" s="78"/>
      <c r="X17" s="78"/>
    </row>
    <row r="18" spans="1:24" ht="15.5">
      <c r="A18" s="1335"/>
      <c r="B18" s="1230"/>
      <c r="C18" s="1339"/>
      <c r="D18" s="77" t="s">
        <v>601</v>
      </c>
      <c r="E18" s="40"/>
      <c r="F18" s="40"/>
      <c r="G18" s="40"/>
      <c r="H18" s="40"/>
      <c r="I18" s="259">
        <v>15.5</v>
      </c>
      <c r="J18" s="126"/>
      <c r="K18" s="40"/>
      <c r="L18" s="40"/>
      <c r="M18" s="40"/>
      <c r="N18" s="40"/>
      <c r="O18" s="40"/>
      <c r="P18" s="40"/>
      <c r="Q18" s="40"/>
      <c r="R18" s="40"/>
      <c r="S18" s="40"/>
      <c r="T18" s="40"/>
      <c r="U18" s="40"/>
      <c r="V18" s="40"/>
      <c r="W18" s="78"/>
      <c r="X18" s="78"/>
    </row>
    <row r="19" spans="1:24" ht="15.5">
      <c r="A19" s="1335"/>
      <c r="B19" s="1230"/>
      <c r="C19" s="1339"/>
      <c r="D19" s="77" t="s">
        <v>602</v>
      </c>
      <c r="E19" s="40"/>
      <c r="F19" s="40"/>
      <c r="G19" s="40"/>
      <c r="H19" s="40"/>
      <c r="I19" s="259">
        <v>54.1</v>
      </c>
      <c r="J19" s="126"/>
      <c r="K19" s="40"/>
      <c r="L19" s="40"/>
      <c r="M19" s="40"/>
      <c r="N19" s="40"/>
      <c r="O19" s="40"/>
      <c r="P19" s="40"/>
      <c r="Q19" s="40"/>
      <c r="R19" s="40"/>
      <c r="S19" s="40"/>
      <c r="T19" s="40"/>
      <c r="U19" s="40"/>
      <c r="V19" s="40"/>
      <c r="W19" s="78"/>
      <c r="X19" s="78"/>
    </row>
    <row r="20" spans="1:24" ht="15.5">
      <c r="A20" s="1335"/>
      <c r="B20" s="1230"/>
      <c r="C20" s="1339"/>
      <c r="D20" s="77" t="s">
        <v>603</v>
      </c>
      <c r="E20" s="40"/>
      <c r="F20" s="40"/>
      <c r="G20" s="40"/>
      <c r="H20" s="40"/>
      <c r="I20" s="259">
        <v>40.9</v>
      </c>
      <c r="J20" s="126"/>
      <c r="K20" s="40"/>
      <c r="L20" s="40"/>
      <c r="M20" s="40"/>
      <c r="N20" s="40"/>
      <c r="O20" s="40"/>
      <c r="P20" s="40"/>
      <c r="Q20" s="40"/>
      <c r="R20" s="40"/>
      <c r="S20" s="40"/>
      <c r="T20" s="40"/>
      <c r="U20" s="40"/>
      <c r="V20" s="40"/>
      <c r="W20" s="78"/>
      <c r="X20" s="78"/>
    </row>
    <row r="21" spans="1:24" ht="15.5">
      <c r="A21" s="1335"/>
      <c r="B21" s="1230"/>
      <c r="C21" s="1339"/>
      <c r="D21" s="77" t="s">
        <v>604</v>
      </c>
      <c r="E21" s="40"/>
      <c r="F21" s="40"/>
      <c r="G21" s="40"/>
      <c r="H21" s="40"/>
      <c r="I21" s="259">
        <v>30.1</v>
      </c>
      <c r="J21" s="126"/>
      <c r="K21" s="40"/>
      <c r="L21" s="40"/>
      <c r="M21" s="40"/>
      <c r="N21" s="40"/>
      <c r="O21" s="40"/>
      <c r="P21" s="40"/>
      <c r="Q21" s="40"/>
      <c r="R21" s="40"/>
      <c r="S21" s="40"/>
      <c r="T21" s="40"/>
      <c r="U21" s="40"/>
      <c r="V21" s="40"/>
      <c r="W21" s="78"/>
      <c r="X21" s="78"/>
    </row>
    <row r="22" spans="1:24" ht="15.5">
      <c r="A22" s="1335"/>
      <c r="B22" s="1230"/>
      <c r="C22" s="1339"/>
      <c r="D22" s="77" t="s">
        <v>605</v>
      </c>
      <c r="E22" s="40"/>
      <c r="F22" s="40"/>
      <c r="G22" s="40"/>
      <c r="H22" s="40"/>
      <c r="I22" s="259">
        <v>88.5</v>
      </c>
      <c r="J22" s="126"/>
      <c r="K22" s="40"/>
      <c r="L22" s="40"/>
      <c r="M22" s="40"/>
      <c r="N22" s="40"/>
      <c r="O22" s="40"/>
      <c r="P22" s="40"/>
      <c r="Q22" s="40"/>
      <c r="R22" s="40"/>
      <c r="S22" s="40"/>
      <c r="T22" s="40"/>
      <c r="U22" s="40"/>
      <c r="V22" s="40"/>
      <c r="W22" s="78"/>
      <c r="X22" s="78"/>
    </row>
    <row r="23" spans="1:24" ht="15.5">
      <c r="A23" s="1335"/>
      <c r="B23" s="1230"/>
      <c r="C23" s="1339"/>
      <c r="D23" s="77" t="s">
        <v>606</v>
      </c>
      <c r="E23" s="40"/>
      <c r="F23" s="40"/>
      <c r="G23" s="40"/>
      <c r="H23" s="40"/>
      <c r="I23" s="259">
        <v>79.8</v>
      </c>
      <c r="J23" s="126"/>
      <c r="K23" s="40"/>
      <c r="L23" s="40"/>
      <c r="M23" s="40"/>
      <c r="N23" s="40"/>
      <c r="O23" s="40"/>
      <c r="P23" s="40"/>
      <c r="Q23" s="40"/>
      <c r="R23" s="40"/>
      <c r="S23" s="40"/>
      <c r="T23" s="40"/>
      <c r="U23" s="40"/>
      <c r="V23" s="40"/>
      <c r="W23" s="78"/>
      <c r="X23" s="78"/>
    </row>
    <row r="24" spans="1:24" ht="16" thickBot="1">
      <c r="A24" s="1335"/>
      <c r="B24" s="1230"/>
      <c r="C24" s="1340"/>
      <c r="D24" s="79" t="s">
        <v>607</v>
      </c>
      <c r="E24" s="80"/>
      <c r="F24" s="80"/>
      <c r="G24" s="80"/>
      <c r="H24" s="80"/>
      <c r="I24" s="679">
        <v>25.4</v>
      </c>
      <c r="J24" s="129"/>
      <c r="K24" s="80"/>
      <c r="L24" s="80"/>
      <c r="M24" s="80"/>
      <c r="N24" s="80"/>
      <c r="O24" s="80"/>
      <c r="P24" s="80"/>
      <c r="Q24" s="80"/>
      <c r="R24" s="80"/>
      <c r="S24" s="80"/>
      <c r="T24" s="80"/>
      <c r="U24" s="80"/>
      <c r="V24" s="80"/>
      <c r="W24" s="124"/>
      <c r="X24" s="124"/>
    </row>
    <row r="25" spans="1:24" ht="15.5">
      <c r="A25" s="1335"/>
      <c r="B25" s="1230"/>
      <c r="C25" s="1341" t="s">
        <v>339</v>
      </c>
      <c r="D25" s="146" t="s">
        <v>597</v>
      </c>
      <c r="E25" s="57"/>
      <c r="F25" s="57"/>
      <c r="G25" s="57"/>
      <c r="H25" s="57"/>
      <c r="I25" s="680">
        <f t="shared" ref="I25:I35" si="0">+I14-I3</f>
        <v>0</v>
      </c>
      <c r="J25" s="130"/>
      <c r="K25" s="57"/>
      <c r="L25" s="57"/>
      <c r="M25" s="57"/>
      <c r="N25" s="57"/>
      <c r="O25" s="57"/>
      <c r="P25" s="57"/>
      <c r="Q25" s="57"/>
      <c r="R25" s="57"/>
      <c r="S25" s="57"/>
      <c r="T25" s="57"/>
      <c r="U25" s="57"/>
      <c r="V25" s="57"/>
      <c r="W25" s="83"/>
      <c r="X25" s="83"/>
    </row>
    <row r="26" spans="1:24" ht="15.5">
      <c r="A26" s="1335"/>
      <c r="B26" s="1230"/>
      <c r="C26" s="1341"/>
      <c r="D26" s="147" t="s">
        <v>598</v>
      </c>
      <c r="E26" s="40"/>
      <c r="F26" s="40"/>
      <c r="G26" s="40"/>
      <c r="H26" s="40"/>
      <c r="I26" s="680">
        <f t="shared" si="0"/>
        <v>-11.800000000000004</v>
      </c>
      <c r="J26" s="131"/>
      <c r="K26" s="40"/>
      <c r="L26" s="40"/>
      <c r="M26" s="40"/>
      <c r="N26" s="40"/>
      <c r="O26" s="40"/>
      <c r="P26" s="40"/>
      <c r="Q26" s="40"/>
      <c r="R26" s="40"/>
      <c r="S26" s="40"/>
      <c r="T26" s="40"/>
      <c r="U26" s="40"/>
      <c r="V26" s="40"/>
      <c r="W26" s="78"/>
      <c r="X26" s="78"/>
    </row>
    <row r="27" spans="1:24" ht="15.5">
      <c r="A27" s="1335"/>
      <c r="B27" s="1230"/>
      <c r="C27" s="1341"/>
      <c r="D27" s="147" t="s">
        <v>599</v>
      </c>
      <c r="E27" s="40"/>
      <c r="F27" s="40"/>
      <c r="G27" s="40"/>
      <c r="H27" s="40"/>
      <c r="I27" s="680">
        <f t="shared" si="0"/>
        <v>-0.29999999999999893</v>
      </c>
      <c r="J27" s="131"/>
      <c r="K27" s="40"/>
      <c r="L27" s="40"/>
      <c r="M27" s="40"/>
      <c r="N27" s="40"/>
      <c r="O27" s="40"/>
      <c r="P27" s="40"/>
      <c r="Q27" s="40"/>
      <c r="R27" s="40"/>
      <c r="S27" s="40"/>
      <c r="T27" s="40"/>
      <c r="U27" s="40"/>
      <c r="V27" s="40"/>
      <c r="W27" s="78"/>
      <c r="X27" s="78"/>
    </row>
    <row r="28" spans="1:24" ht="15.5">
      <c r="A28" s="1335"/>
      <c r="B28" s="1230"/>
      <c r="C28" s="1341"/>
      <c r="D28" s="147" t="s">
        <v>600</v>
      </c>
      <c r="E28" s="40"/>
      <c r="F28" s="40"/>
      <c r="G28" s="40"/>
      <c r="H28" s="40"/>
      <c r="I28" s="680">
        <f t="shared" si="0"/>
        <v>13.400000000000006</v>
      </c>
      <c r="J28" s="131"/>
      <c r="K28" s="40"/>
      <c r="L28" s="40"/>
      <c r="M28" s="40"/>
      <c r="N28" s="40"/>
      <c r="O28" s="40"/>
      <c r="P28" s="40"/>
      <c r="Q28" s="40"/>
      <c r="R28" s="40"/>
      <c r="S28" s="40"/>
      <c r="T28" s="40"/>
      <c r="U28" s="40"/>
      <c r="V28" s="40"/>
      <c r="W28" s="78"/>
      <c r="X28" s="78"/>
    </row>
    <row r="29" spans="1:24" ht="15.5">
      <c r="A29" s="1335"/>
      <c r="B29" s="1230"/>
      <c r="C29" s="1341"/>
      <c r="D29" s="147" t="s">
        <v>601</v>
      </c>
      <c r="E29" s="40"/>
      <c r="F29" s="40"/>
      <c r="G29" s="40"/>
      <c r="H29" s="40"/>
      <c r="I29" s="680">
        <f t="shared" si="0"/>
        <v>6.6</v>
      </c>
      <c r="J29" s="131"/>
      <c r="K29" s="40"/>
      <c r="L29" s="40"/>
      <c r="M29" s="40"/>
      <c r="N29" s="40"/>
      <c r="O29" s="40"/>
      <c r="P29" s="40"/>
      <c r="Q29" s="40"/>
      <c r="R29" s="40"/>
      <c r="S29" s="40"/>
      <c r="T29" s="40"/>
      <c r="U29" s="40"/>
      <c r="V29" s="40"/>
      <c r="W29" s="78"/>
      <c r="X29" s="78"/>
    </row>
    <row r="30" spans="1:24" ht="15.5">
      <c r="A30" s="1335"/>
      <c r="B30" s="1230"/>
      <c r="C30" s="1341"/>
      <c r="D30" s="147" t="s">
        <v>602</v>
      </c>
      <c r="E30" s="40"/>
      <c r="F30" s="40"/>
      <c r="G30" s="40"/>
      <c r="H30" s="40"/>
      <c r="I30" s="680">
        <f t="shared" si="0"/>
        <v>3.5</v>
      </c>
      <c r="J30" s="131"/>
      <c r="K30" s="40"/>
      <c r="L30" s="40"/>
      <c r="M30" s="40"/>
      <c r="N30" s="40"/>
      <c r="O30" s="40"/>
      <c r="P30" s="40"/>
      <c r="Q30" s="40"/>
      <c r="R30" s="40"/>
      <c r="S30" s="40"/>
      <c r="T30" s="40"/>
      <c r="U30" s="40"/>
      <c r="V30" s="40"/>
      <c r="W30" s="78"/>
      <c r="X30" s="78"/>
    </row>
    <row r="31" spans="1:24" ht="15.5">
      <c r="A31" s="1335"/>
      <c r="B31" s="1230"/>
      <c r="C31" s="1341"/>
      <c r="D31" s="147" t="s">
        <v>603</v>
      </c>
      <c r="E31" s="40"/>
      <c r="F31" s="40"/>
      <c r="G31" s="40"/>
      <c r="H31" s="40"/>
      <c r="I31" s="680">
        <f t="shared" si="0"/>
        <v>-6.3000000000000043</v>
      </c>
      <c r="J31" s="131"/>
      <c r="K31" s="40"/>
      <c r="L31" s="40"/>
      <c r="M31" s="40"/>
      <c r="N31" s="40"/>
      <c r="O31" s="40"/>
      <c r="P31" s="40"/>
      <c r="Q31" s="40"/>
      <c r="R31" s="40"/>
      <c r="S31" s="40"/>
      <c r="T31" s="40"/>
      <c r="U31" s="40"/>
      <c r="V31" s="40"/>
      <c r="W31" s="78"/>
      <c r="X31" s="78"/>
    </row>
    <row r="32" spans="1:24" ht="15.5">
      <c r="A32" s="1335"/>
      <c r="B32" s="1230"/>
      <c r="C32" s="1341"/>
      <c r="D32" s="147" t="s">
        <v>604</v>
      </c>
      <c r="E32" s="40"/>
      <c r="F32" s="40"/>
      <c r="G32" s="40"/>
      <c r="H32" s="40"/>
      <c r="I32" s="680">
        <f t="shared" si="0"/>
        <v>-10</v>
      </c>
      <c r="J32" s="131"/>
      <c r="K32" s="40"/>
      <c r="L32" s="40"/>
      <c r="M32" s="40"/>
      <c r="N32" s="40"/>
      <c r="O32" s="40"/>
      <c r="P32" s="40"/>
      <c r="Q32" s="40"/>
      <c r="R32" s="40"/>
      <c r="S32" s="40"/>
      <c r="T32" s="40"/>
      <c r="U32" s="40"/>
      <c r="V32" s="40"/>
      <c r="W32" s="78"/>
      <c r="X32" s="78"/>
    </row>
    <row r="33" spans="1:24" ht="15.5">
      <c r="A33" s="1335"/>
      <c r="B33" s="1230"/>
      <c r="C33" s="1341"/>
      <c r="D33" s="147" t="s">
        <v>605</v>
      </c>
      <c r="E33" s="40"/>
      <c r="F33" s="40"/>
      <c r="G33" s="40"/>
      <c r="H33" s="40"/>
      <c r="I33" s="680">
        <f t="shared" si="0"/>
        <v>3</v>
      </c>
      <c r="J33" s="131"/>
      <c r="K33" s="40"/>
      <c r="L33" s="40"/>
      <c r="M33" s="40"/>
      <c r="N33" s="40"/>
      <c r="O33" s="40"/>
      <c r="P33" s="40"/>
      <c r="Q33" s="40"/>
      <c r="R33" s="40"/>
      <c r="S33" s="40"/>
      <c r="T33" s="40"/>
      <c r="U33" s="40"/>
      <c r="V33" s="40"/>
      <c r="W33" s="78"/>
      <c r="X33" s="78"/>
    </row>
    <row r="34" spans="1:24" ht="15.5">
      <c r="A34" s="1335"/>
      <c r="B34" s="1230"/>
      <c r="C34" s="1341"/>
      <c r="D34" s="147" t="s">
        <v>606</v>
      </c>
      <c r="E34" s="40"/>
      <c r="F34" s="40"/>
      <c r="G34" s="40"/>
      <c r="H34" s="40"/>
      <c r="I34" s="680">
        <f t="shared" si="0"/>
        <v>-3.5</v>
      </c>
      <c r="J34" s="131"/>
      <c r="K34" s="40"/>
      <c r="L34" s="40"/>
      <c r="M34" s="40"/>
      <c r="N34" s="40"/>
      <c r="O34" s="40"/>
      <c r="P34" s="40"/>
      <c r="Q34" s="40"/>
      <c r="R34" s="40"/>
      <c r="S34" s="40"/>
      <c r="T34" s="40"/>
      <c r="U34" s="40"/>
      <c r="V34" s="40"/>
      <c r="W34" s="78"/>
      <c r="X34" s="78"/>
    </row>
    <row r="35" spans="1:24" ht="16" thickBot="1">
      <c r="A35" s="1335"/>
      <c r="B35" s="1230"/>
      <c r="C35" s="1341"/>
      <c r="D35" s="146" t="s">
        <v>607</v>
      </c>
      <c r="E35" s="58"/>
      <c r="F35" s="58"/>
      <c r="G35" s="58"/>
      <c r="H35" s="58"/>
      <c r="I35" s="681">
        <f t="shared" si="0"/>
        <v>-10.300000000000004</v>
      </c>
      <c r="J35" s="132"/>
      <c r="K35" s="58"/>
      <c r="L35" s="58"/>
      <c r="M35" s="58"/>
      <c r="N35" s="58"/>
      <c r="O35" s="58"/>
      <c r="P35" s="58"/>
      <c r="Q35" s="58"/>
      <c r="R35" s="58"/>
      <c r="S35" s="58"/>
      <c r="T35" s="58"/>
      <c r="U35" s="58"/>
      <c r="V35" s="58"/>
      <c r="W35" s="81"/>
      <c r="X35" s="81"/>
    </row>
    <row r="36" spans="1:24" ht="16" thickBot="1">
      <c r="A36" s="1335"/>
      <c r="B36" s="1342" t="s">
        <v>246</v>
      </c>
      <c r="C36" s="1354"/>
      <c r="D36" s="1354"/>
      <c r="E36" s="686">
        <v>2005</v>
      </c>
      <c r="F36" s="686">
        <v>2006</v>
      </c>
      <c r="G36" s="686">
        <v>2007</v>
      </c>
      <c r="H36" s="687">
        <v>2008</v>
      </c>
      <c r="I36" s="686">
        <v>2009</v>
      </c>
      <c r="J36" s="287">
        <v>2010</v>
      </c>
      <c r="K36" s="686">
        <v>2011</v>
      </c>
      <c r="L36" s="686">
        <v>2012</v>
      </c>
      <c r="M36" s="686">
        <v>2013</v>
      </c>
      <c r="N36" s="686">
        <v>2014</v>
      </c>
      <c r="O36" s="687">
        <v>2015</v>
      </c>
      <c r="P36" s="686">
        <v>2016</v>
      </c>
      <c r="Q36" s="686">
        <v>2017</v>
      </c>
      <c r="R36" s="686">
        <v>2018</v>
      </c>
      <c r="S36" s="686">
        <v>2019</v>
      </c>
      <c r="T36" s="686">
        <v>2020</v>
      </c>
      <c r="U36" s="686">
        <v>2021</v>
      </c>
      <c r="V36" s="686">
        <v>2022</v>
      </c>
      <c r="W36" s="686">
        <v>2023</v>
      </c>
      <c r="X36" s="686">
        <v>2023</v>
      </c>
    </row>
    <row r="37" spans="1:24" ht="15.5">
      <c r="A37" s="1335"/>
      <c r="B37" s="1228" t="s">
        <v>608</v>
      </c>
      <c r="C37" s="1355" t="s">
        <v>258</v>
      </c>
      <c r="D37" s="713" t="s">
        <v>609</v>
      </c>
      <c r="E37" s="695"/>
      <c r="F37" s="695"/>
      <c r="G37" s="695"/>
      <c r="H37" s="695"/>
      <c r="I37" s="695"/>
      <c r="J37" s="696"/>
      <c r="K37" s="695"/>
      <c r="L37" s="695"/>
      <c r="M37" s="695"/>
      <c r="N37" s="695"/>
      <c r="O37" s="695"/>
      <c r="P37" s="695"/>
      <c r="Q37" s="695"/>
      <c r="R37" s="695"/>
      <c r="S37" s="695"/>
      <c r="T37" s="695"/>
      <c r="U37" s="697">
        <v>1.9775419789443069</v>
      </c>
      <c r="V37" s="695"/>
      <c r="W37" s="698"/>
      <c r="X37" s="698"/>
    </row>
    <row r="38" spans="1:24" ht="31">
      <c r="A38" s="1335"/>
      <c r="B38" s="1229"/>
      <c r="C38" s="1356"/>
      <c r="D38" s="714" t="s">
        <v>610</v>
      </c>
      <c r="E38" s="689"/>
      <c r="F38" s="689"/>
      <c r="G38" s="689"/>
      <c r="H38" s="689"/>
      <c r="I38" s="689"/>
      <c r="J38" s="690"/>
      <c r="K38" s="689"/>
      <c r="L38" s="689"/>
      <c r="M38" s="689"/>
      <c r="N38" s="689"/>
      <c r="O38" s="689"/>
      <c r="P38" s="689"/>
      <c r="Q38" s="689"/>
      <c r="R38" s="689"/>
      <c r="S38" s="689"/>
      <c r="T38" s="689"/>
      <c r="U38" s="691">
        <v>16.072235466429831</v>
      </c>
      <c r="V38" s="689"/>
      <c r="W38" s="699"/>
      <c r="X38" s="699"/>
    </row>
    <row r="39" spans="1:24" ht="31">
      <c r="A39" s="1335"/>
      <c r="B39" s="1229"/>
      <c r="C39" s="1356"/>
      <c r="D39" s="714" t="s">
        <v>611</v>
      </c>
      <c r="E39" s="689"/>
      <c r="F39" s="689"/>
      <c r="G39" s="689"/>
      <c r="H39" s="689"/>
      <c r="I39" s="689"/>
      <c r="J39" s="690"/>
      <c r="K39" s="689"/>
      <c r="L39" s="689"/>
      <c r="M39" s="689"/>
      <c r="N39" s="689"/>
      <c r="O39" s="689"/>
      <c r="P39" s="689"/>
      <c r="Q39" s="689"/>
      <c r="R39" s="689"/>
      <c r="S39" s="689"/>
      <c r="T39" s="689"/>
      <c r="U39" s="691">
        <v>9.6065518142833142</v>
      </c>
      <c r="V39" s="689"/>
      <c r="W39" s="699"/>
      <c r="X39" s="699"/>
    </row>
    <row r="40" spans="1:24" ht="31">
      <c r="A40" s="1335"/>
      <c r="B40" s="1229"/>
      <c r="C40" s="1356"/>
      <c r="D40" s="714" t="s">
        <v>612</v>
      </c>
      <c r="E40" s="689"/>
      <c r="F40" s="689"/>
      <c r="G40" s="689"/>
      <c r="H40" s="689"/>
      <c r="I40" s="689"/>
      <c r="J40" s="690"/>
      <c r="K40" s="689"/>
      <c r="L40" s="689"/>
      <c r="M40" s="689"/>
      <c r="N40" s="689"/>
      <c r="O40" s="689"/>
      <c r="P40" s="689"/>
      <c r="Q40" s="689"/>
      <c r="R40" s="689"/>
      <c r="S40" s="689"/>
      <c r="T40" s="689"/>
      <c r="U40" s="691">
        <v>53.799183187300791</v>
      </c>
      <c r="V40" s="689"/>
      <c r="W40" s="699"/>
      <c r="X40" s="699"/>
    </row>
    <row r="41" spans="1:24" ht="16" thickBot="1">
      <c r="A41" s="1335"/>
      <c r="B41" s="1229"/>
      <c r="C41" s="1357"/>
      <c r="D41" s="716" t="s">
        <v>613</v>
      </c>
      <c r="E41" s="700"/>
      <c r="F41" s="700"/>
      <c r="G41" s="700"/>
      <c r="H41" s="700"/>
      <c r="I41" s="700"/>
      <c r="J41" s="701"/>
      <c r="K41" s="700"/>
      <c r="L41" s="700"/>
      <c r="M41" s="700"/>
      <c r="N41" s="700"/>
      <c r="O41" s="700"/>
      <c r="P41" s="700"/>
      <c r="Q41" s="700"/>
      <c r="R41" s="700"/>
      <c r="S41" s="700"/>
      <c r="T41" s="700"/>
      <c r="U41" s="702">
        <v>18.544487553041751</v>
      </c>
      <c r="V41" s="700"/>
      <c r="W41" s="703"/>
      <c r="X41" s="703"/>
    </row>
    <row r="42" spans="1:24" ht="15.5">
      <c r="A42" s="1335"/>
      <c r="B42" s="1229"/>
      <c r="C42" s="1355" t="s">
        <v>259</v>
      </c>
      <c r="D42" s="785" t="s">
        <v>609</v>
      </c>
      <c r="E42" s="704"/>
      <c r="F42" s="704"/>
      <c r="G42" s="704"/>
      <c r="H42" s="704"/>
      <c r="I42" s="705"/>
      <c r="J42" s="706"/>
      <c r="K42" s="75"/>
      <c r="L42" s="75"/>
      <c r="M42" s="75"/>
      <c r="N42" s="75"/>
      <c r="O42" s="75"/>
      <c r="P42" s="75"/>
      <c r="Q42" s="75"/>
      <c r="R42" s="75"/>
      <c r="S42" s="75"/>
      <c r="T42" s="75"/>
      <c r="U42" s="707">
        <v>13.539164205748577</v>
      </c>
      <c r="V42" s="75"/>
      <c r="W42" s="76"/>
      <c r="X42" s="76"/>
    </row>
    <row r="43" spans="1:24" ht="31">
      <c r="A43" s="1335"/>
      <c r="B43" s="1229"/>
      <c r="C43" s="1356"/>
      <c r="D43" s="714" t="s">
        <v>610</v>
      </c>
      <c r="E43" s="692"/>
      <c r="F43" s="692"/>
      <c r="G43" s="692"/>
      <c r="H43" s="692"/>
      <c r="I43" s="693"/>
      <c r="J43" s="694"/>
      <c r="K43" s="40"/>
      <c r="L43" s="40"/>
      <c r="M43" s="40"/>
      <c r="N43" s="40"/>
      <c r="O43" s="40"/>
      <c r="P43" s="40"/>
      <c r="Q43" s="40"/>
      <c r="R43" s="40"/>
      <c r="S43" s="40"/>
      <c r="T43" s="40"/>
      <c r="U43" s="91">
        <v>15.50077704873409</v>
      </c>
      <c r="V43" s="40"/>
      <c r="W43" s="78"/>
      <c r="X43" s="78"/>
    </row>
    <row r="44" spans="1:24" ht="31">
      <c r="A44" s="1335"/>
      <c r="B44" s="1229"/>
      <c r="C44" s="1356"/>
      <c r="D44" s="714" t="s">
        <v>611</v>
      </c>
      <c r="E44" s="692"/>
      <c r="F44" s="692"/>
      <c r="G44" s="692"/>
      <c r="H44" s="692"/>
      <c r="I44" s="693"/>
      <c r="J44" s="694"/>
      <c r="K44" s="40"/>
      <c r="L44" s="40"/>
      <c r="M44" s="40"/>
      <c r="N44" s="40"/>
      <c r="O44" s="40"/>
      <c r="P44" s="40"/>
      <c r="Q44" s="40"/>
      <c r="R44" s="40"/>
      <c r="S44" s="40"/>
      <c r="T44" s="40"/>
      <c r="U44" s="91">
        <v>3.6445326471249198</v>
      </c>
      <c r="V44" s="40"/>
      <c r="W44" s="78"/>
      <c r="X44" s="78"/>
    </row>
    <row r="45" spans="1:24" ht="31">
      <c r="A45" s="1335"/>
      <c r="B45" s="1229"/>
      <c r="C45" s="1356"/>
      <c r="D45" s="714" t="s">
        <v>612</v>
      </c>
      <c r="E45" s="692"/>
      <c r="F45" s="692"/>
      <c r="G45" s="692"/>
      <c r="H45" s="692"/>
      <c r="I45" s="693"/>
      <c r="J45" s="694"/>
      <c r="K45" s="40"/>
      <c r="L45" s="40"/>
      <c r="M45" s="40"/>
      <c r="N45" s="40"/>
      <c r="O45" s="40"/>
      <c r="P45" s="40"/>
      <c r="Q45" s="40"/>
      <c r="R45" s="40"/>
      <c r="S45" s="40"/>
      <c r="T45" s="40"/>
      <c r="U45" s="91">
        <v>49.799407480557953</v>
      </c>
      <c r="V45" s="40"/>
      <c r="W45" s="78"/>
      <c r="X45" s="78"/>
    </row>
    <row r="46" spans="1:24" ht="16" thickBot="1">
      <c r="A46" s="1335"/>
      <c r="B46" s="1229"/>
      <c r="C46" s="1357"/>
      <c r="D46" s="716" t="s">
        <v>613</v>
      </c>
      <c r="E46" s="708"/>
      <c r="F46" s="708"/>
      <c r="G46" s="708"/>
      <c r="H46" s="708"/>
      <c r="I46" s="709"/>
      <c r="J46" s="710"/>
      <c r="K46" s="80"/>
      <c r="L46" s="80"/>
      <c r="M46" s="80"/>
      <c r="N46" s="80"/>
      <c r="O46" s="80"/>
      <c r="P46" s="80"/>
      <c r="Q46" s="80"/>
      <c r="R46" s="80"/>
      <c r="S46" s="80"/>
      <c r="T46" s="80"/>
      <c r="U46" s="786">
        <v>17.516197747033445</v>
      </c>
      <c r="V46" s="80"/>
      <c r="W46" s="124"/>
      <c r="X46" s="124"/>
    </row>
    <row r="47" spans="1:24" ht="16" thickBot="1">
      <c r="A47" s="1335"/>
      <c r="B47" s="1229"/>
      <c r="C47" s="1358" t="s">
        <v>339</v>
      </c>
      <c r="D47" s="794" t="s">
        <v>609</v>
      </c>
      <c r="E47" s="704"/>
      <c r="F47" s="704"/>
      <c r="G47" s="704"/>
      <c r="H47" s="704"/>
      <c r="I47" s="705"/>
      <c r="J47" s="706"/>
      <c r="K47" s="75"/>
      <c r="L47" s="75"/>
      <c r="M47" s="75"/>
      <c r="N47" s="75"/>
      <c r="O47" s="75"/>
      <c r="P47" s="75"/>
      <c r="Q47" s="75"/>
      <c r="R47" s="75"/>
      <c r="S47" s="75"/>
      <c r="T47" s="75"/>
      <c r="U47" s="715">
        <f>+U42-U37</f>
        <v>11.561622226804269</v>
      </c>
      <c r="V47" s="75"/>
      <c r="W47" s="76"/>
      <c r="X47" s="76"/>
    </row>
    <row r="48" spans="1:24" ht="31">
      <c r="A48" s="1335"/>
      <c r="B48" s="1229"/>
      <c r="C48" s="1359"/>
      <c r="D48" s="795" t="s">
        <v>610</v>
      </c>
      <c r="E48" s="692"/>
      <c r="F48" s="692"/>
      <c r="G48" s="692"/>
      <c r="H48" s="692"/>
      <c r="I48" s="693"/>
      <c r="J48" s="694"/>
      <c r="K48" s="40"/>
      <c r="L48" s="40"/>
      <c r="M48" s="40"/>
      <c r="N48" s="40"/>
      <c r="O48" s="40"/>
      <c r="P48" s="40"/>
      <c r="Q48" s="40"/>
      <c r="R48" s="40"/>
      <c r="S48" s="40"/>
      <c r="T48" s="40"/>
      <c r="U48" s="681">
        <f t="shared" ref="U48:U51" si="1">+U43-U38</f>
        <v>-0.57145841769574091</v>
      </c>
      <c r="V48" s="40"/>
      <c r="W48" s="78"/>
      <c r="X48" s="78"/>
    </row>
    <row r="49" spans="1:30" ht="31">
      <c r="A49" s="1335"/>
      <c r="B49" s="1229"/>
      <c r="C49" s="1359"/>
      <c r="D49" s="796" t="s">
        <v>611</v>
      </c>
      <c r="E49" s="692"/>
      <c r="F49" s="692"/>
      <c r="G49" s="692"/>
      <c r="H49" s="692"/>
      <c r="I49" s="693"/>
      <c r="J49" s="694"/>
      <c r="K49" s="40"/>
      <c r="L49" s="40"/>
      <c r="M49" s="40"/>
      <c r="N49" s="40"/>
      <c r="O49" s="40"/>
      <c r="P49" s="40"/>
      <c r="Q49" s="40"/>
      <c r="R49" s="40"/>
      <c r="S49" s="40"/>
      <c r="T49" s="40"/>
      <c r="U49" s="681">
        <f t="shared" si="1"/>
        <v>-5.9620191671583944</v>
      </c>
      <c r="V49" s="40"/>
      <c r="W49" s="78"/>
      <c r="X49" s="78"/>
    </row>
    <row r="50" spans="1:30" ht="31">
      <c r="A50" s="1335"/>
      <c r="B50" s="1229"/>
      <c r="C50" s="1359"/>
      <c r="D50" s="796" t="s">
        <v>612</v>
      </c>
      <c r="E50" s="692"/>
      <c r="F50" s="692"/>
      <c r="G50" s="692"/>
      <c r="H50" s="692"/>
      <c r="I50" s="693"/>
      <c r="J50" s="694"/>
      <c r="K50" s="40"/>
      <c r="L50" s="40"/>
      <c r="M50" s="40"/>
      <c r="N50" s="40"/>
      <c r="O50" s="40"/>
      <c r="P50" s="40"/>
      <c r="Q50" s="40"/>
      <c r="R50" s="40"/>
      <c r="S50" s="40"/>
      <c r="T50" s="40"/>
      <c r="U50" s="681">
        <f t="shared" si="1"/>
        <v>-3.9997757067428381</v>
      </c>
      <c r="V50" s="40"/>
      <c r="W50" s="78"/>
      <c r="X50" s="78"/>
    </row>
    <row r="51" spans="1:30" ht="16" thickBot="1">
      <c r="A51" s="1335"/>
      <c r="B51" s="1229"/>
      <c r="C51" s="1360"/>
      <c r="D51" s="797" t="s">
        <v>613</v>
      </c>
      <c r="E51" s="708"/>
      <c r="F51" s="708"/>
      <c r="G51" s="708"/>
      <c r="H51" s="708"/>
      <c r="I51" s="709"/>
      <c r="J51" s="710"/>
      <c r="K51" s="80"/>
      <c r="L51" s="80"/>
      <c r="M51" s="80"/>
      <c r="N51" s="80"/>
      <c r="O51" s="80"/>
      <c r="P51" s="80"/>
      <c r="Q51" s="80"/>
      <c r="R51" s="80"/>
      <c r="S51" s="80"/>
      <c r="T51" s="80"/>
      <c r="U51" s="717">
        <f t="shared" si="1"/>
        <v>-1.0282898060083063</v>
      </c>
      <c r="V51" s="80"/>
      <c r="W51" s="124"/>
      <c r="X51" s="124"/>
    </row>
    <row r="52" spans="1:30" ht="16" thickBot="1">
      <c r="A52" s="1335"/>
      <c r="B52" s="1342" t="s">
        <v>246</v>
      </c>
      <c r="C52" s="1343"/>
      <c r="D52" s="1343"/>
      <c r="E52" s="688">
        <v>2005</v>
      </c>
      <c r="F52" s="688">
        <v>2006</v>
      </c>
      <c r="G52" s="688">
        <v>2007</v>
      </c>
      <c r="H52" s="682">
        <v>2008</v>
      </c>
      <c r="I52" s="688">
        <v>2009</v>
      </c>
      <c r="J52" s="288">
        <v>2010</v>
      </c>
      <c r="K52" s="688">
        <v>2011</v>
      </c>
      <c r="L52" s="688">
        <v>2012</v>
      </c>
      <c r="M52" s="688">
        <v>2013</v>
      </c>
      <c r="N52" s="688">
        <v>2014</v>
      </c>
      <c r="O52" s="682">
        <v>2015</v>
      </c>
      <c r="P52" s="688">
        <v>2016</v>
      </c>
      <c r="Q52" s="688">
        <v>2017</v>
      </c>
      <c r="R52" s="688">
        <v>2018</v>
      </c>
      <c r="S52" s="688">
        <v>2019</v>
      </c>
      <c r="T52" s="688">
        <v>2020</v>
      </c>
      <c r="U52" s="688">
        <v>2021</v>
      </c>
      <c r="V52" s="688">
        <v>2022</v>
      </c>
      <c r="W52" s="688">
        <v>2023</v>
      </c>
      <c r="X52" s="688">
        <v>2024</v>
      </c>
    </row>
    <row r="53" spans="1:30" ht="15" customHeight="1">
      <c r="A53" s="1335"/>
      <c r="B53" s="1344" t="s">
        <v>614</v>
      </c>
      <c r="C53" s="1346" t="s">
        <v>336</v>
      </c>
      <c r="D53" s="1347"/>
      <c r="E53" s="683">
        <v>10.559796437659035</v>
      </c>
      <c r="F53" s="683"/>
      <c r="G53" s="683"/>
      <c r="H53" s="683"/>
      <c r="I53" s="683"/>
      <c r="J53" s="683">
        <v>12.273276904474002</v>
      </c>
      <c r="K53" s="683"/>
      <c r="L53" s="683"/>
      <c r="M53" s="683"/>
      <c r="N53" s="683"/>
      <c r="O53" s="683">
        <v>9.2017738359201786</v>
      </c>
      <c r="P53" s="683"/>
      <c r="Q53" s="683"/>
      <c r="R53" s="683"/>
      <c r="S53" s="683"/>
      <c r="T53" s="683">
        <v>6.403940886699508</v>
      </c>
      <c r="U53" s="683">
        <v>11.528429838288995</v>
      </c>
      <c r="V53" s="683">
        <v>9.5599393019726868</v>
      </c>
      <c r="W53" s="683">
        <v>9.5482546201232026</v>
      </c>
      <c r="X53" s="683">
        <v>13.807531380753138</v>
      </c>
    </row>
    <row r="54" spans="1:30" ht="15" customHeight="1">
      <c r="A54" s="1335"/>
      <c r="B54" s="1250"/>
      <c r="C54" s="1328" t="s">
        <v>615</v>
      </c>
      <c r="D54" s="1329"/>
      <c r="E54" s="684">
        <v>1.8766756032171581</v>
      </c>
      <c r="F54" s="684"/>
      <c r="G54" s="684"/>
      <c r="H54" s="684"/>
      <c r="I54" s="684"/>
      <c r="J54" s="684">
        <v>1.2019230769230769</v>
      </c>
      <c r="K54" s="684"/>
      <c r="L54" s="684"/>
      <c r="M54" s="684"/>
      <c r="N54" s="684"/>
      <c r="O54" s="684">
        <v>2.8828828828828827</v>
      </c>
      <c r="P54" s="684"/>
      <c r="Q54" s="684"/>
      <c r="R54" s="684"/>
      <c r="S54" s="684"/>
      <c r="T54" s="684">
        <v>1.0452961672473866</v>
      </c>
      <c r="U54" s="684">
        <v>1.5544041450777204</v>
      </c>
      <c r="V54" s="684">
        <v>1.5128593040847202</v>
      </c>
      <c r="W54" s="684">
        <v>0.53097345132743357</v>
      </c>
      <c r="X54" s="684">
        <v>5.9782608695652169</v>
      </c>
    </row>
    <row r="55" spans="1:30" ht="15" customHeight="1">
      <c r="A55" s="1335"/>
      <c r="B55" s="1250"/>
      <c r="C55" s="1328" t="s">
        <v>338</v>
      </c>
      <c r="D55" s="1329"/>
      <c r="E55" s="684">
        <v>13.177648040033359</v>
      </c>
      <c r="F55" s="684"/>
      <c r="G55" s="684"/>
      <c r="H55" s="684"/>
      <c r="I55" s="684"/>
      <c r="J55" s="684">
        <v>16.074313408723746</v>
      </c>
      <c r="K55" s="684"/>
      <c r="L55" s="684"/>
      <c r="M55" s="684"/>
      <c r="N55" s="684"/>
      <c r="O55" s="684">
        <v>12.009607686148918</v>
      </c>
      <c r="P55" s="684"/>
      <c r="Q55" s="684"/>
      <c r="R55" s="684"/>
      <c r="S55" s="684"/>
      <c r="T55" s="684">
        <v>8.8587390263367904</v>
      </c>
      <c r="U55" s="684">
        <v>15.832710978342046</v>
      </c>
      <c r="V55" s="684">
        <v>13.525835866261399</v>
      </c>
      <c r="W55" s="684">
        <v>13.232104121475052</v>
      </c>
      <c r="X55" s="684">
        <v>16.51031894934334</v>
      </c>
    </row>
    <row r="56" spans="1:30" ht="16" thickBot="1">
      <c r="A56" s="1335"/>
      <c r="B56" s="1345"/>
      <c r="C56" s="1348" t="s">
        <v>339</v>
      </c>
      <c r="D56" s="1349"/>
      <c r="E56" s="92">
        <f>+E55-E54</f>
        <v>11.300972436816201</v>
      </c>
      <c r="F56" s="685"/>
      <c r="G56" s="685"/>
      <c r="H56" s="685"/>
      <c r="I56" s="685"/>
      <c r="J56" s="92">
        <f>+J55-J54</f>
        <v>14.87239033180067</v>
      </c>
      <c r="K56" s="92">
        <f t="shared" ref="K56:X56" si="2">+K55-K54</f>
        <v>0</v>
      </c>
      <c r="L56" s="92">
        <f t="shared" si="2"/>
        <v>0</v>
      </c>
      <c r="M56" s="92">
        <f t="shared" si="2"/>
        <v>0</v>
      </c>
      <c r="N56" s="92">
        <f t="shared" si="2"/>
        <v>0</v>
      </c>
      <c r="O56" s="92">
        <f t="shared" si="2"/>
        <v>9.1267248032660362</v>
      </c>
      <c r="P56" s="92">
        <f t="shared" si="2"/>
        <v>0</v>
      </c>
      <c r="Q56" s="92">
        <f t="shared" si="2"/>
        <v>0</v>
      </c>
      <c r="R56" s="92">
        <f t="shared" si="2"/>
        <v>0</v>
      </c>
      <c r="S56" s="92">
        <f t="shared" si="2"/>
        <v>0</v>
      </c>
      <c r="T56" s="92">
        <f t="shared" si="2"/>
        <v>7.8134428590894043</v>
      </c>
      <c r="U56" s="92">
        <f t="shared" si="2"/>
        <v>14.278306833264326</v>
      </c>
      <c r="V56" s="92">
        <f t="shared" si="2"/>
        <v>12.012976562176679</v>
      </c>
      <c r="W56" s="92">
        <f t="shared" si="2"/>
        <v>12.701130670147618</v>
      </c>
      <c r="X56" s="92">
        <f t="shared" si="2"/>
        <v>10.532058079778123</v>
      </c>
    </row>
    <row r="57" spans="1:30" ht="16" thickBot="1">
      <c r="A57" s="1335"/>
      <c r="B57" s="1322" t="s">
        <v>246</v>
      </c>
      <c r="C57" s="1337"/>
      <c r="D57" s="1337"/>
      <c r="E57" s="125">
        <v>2005</v>
      </c>
      <c r="F57" s="125">
        <v>2006</v>
      </c>
      <c r="G57" s="125">
        <v>2007</v>
      </c>
      <c r="H57" s="102">
        <v>2008</v>
      </c>
      <c r="I57" s="125">
        <v>2009</v>
      </c>
      <c r="J57" s="68">
        <v>2010</v>
      </c>
      <c r="K57" s="125">
        <v>2011</v>
      </c>
      <c r="L57" s="125">
        <v>2012</v>
      </c>
      <c r="M57" s="125">
        <v>2013</v>
      </c>
      <c r="N57" s="125">
        <v>2014</v>
      </c>
      <c r="O57" s="102">
        <v>2015</v>
      </c>
      <c r="P57" s="125">
        <v>2016</v>
      </c>
      <c r="Q57" s="125">
        <v>2017</v>
      </c>
      <c r="R57" s="125">
        <v>2018</v>
      </c>
      <c r="S57" s="125">
        <v>2019</v>
      </c>
      <c r="T57" s="125">
        <v>2020</v>
      </c>
      <c r="U57" s="125">
        <v>2021</v>
      </c>
      <c r="V57" s="125">
        <v>2022</v>
      </c>
      <c r="W57" s="125">
        <v>2023</v>
      </c>
      <c r="X57" s="125">
        <v>2024</v>
      </c>
    </row>
    <row r="58" spans="1:30" ht="15.5">
      <c r="A58" s="1335"/>
      <c r="B58" s="1344" t="s">
        <v>616</v>
      </c>
      <c r="C58" s="1346" t="s">
        <v>336</v>
      </c>
      <c r="D58" s="1347"/>
      <c r="E58" s="82">
        <v>27.368936795688388</v>
      </c>
      <c r="F58" s="57"/>
      <c r="G58" s="57"/>
      <c r="H58" s="57"/>
      <c r="I58" s="57"/>
      <c r="J58" s="82">
        <v>24.857741838873913</v>
      </c>
      <c r="K58" s="82"/>
      <c r="L58" s="82"/>
      <c r="M58" s="82"/>
      <c r="N58" s="82"/>
      <c r="O58" s="82">
        <v>21.289202165696192</v>
      </c>
      <c r="P58" s="82"/>
      <c r="Q58" s="82"/>
      <c r="R58" s="120"/>
      <c r="S58" s="82"/>
      <c r="T58" s="260">
        <v>20.28998807011104</v>
      </c>
      <c r="U58" s="260">
        <v>18.164940394762557</v>
      </c>
      <c r="V58" s="260">
        <v>18.82061446977205</v>
      </c>
      <c r="W58" s="261">
        <v>17.863720073664826</v>
      </c>
      <c r="X58" s="261">
        <v>17.325171582266741</v>
      </c>
      <c r="Y58" s="648"/>
      <c r="Z58" s="648"/>
      <c r="AA58" s="648"/>
      <c r="AB58" s="648"/>
      <c r="AC58" s="648"/>
      <c r="AD58" s="648"/>
    </row>
    <row r="59" spans="1:30" ht="15.5">
      <c r="A59" s="1335"/>
      <c r="B59" s="1250"/>
      <c r="C59" s="1328" t="s">
        <v>615</v>
      </c>
      <c r="D59" s="1329"/>
      <c r="E59" s="85">
        <v>3.7644528098951335</v>
      </c>
      <c r="F59" s="84"/>
      <c r="G59" s="84"/>
      <c r="H59" s="84"/>
      <c r="I59" s="84"/>
      <c r="J59" s="85">
        <v>5.7225738396624477</v>
      </c>
      <c r="K59" s="82"/>
      <c r="L59" s="82"/>
      <c r="M59" s="82"/>
      <c r="N59" s="82"/>
      <c r="O59" s="85">
        <v>5.0976413898047177</v>
      </c>
      <c r="P59" s="85"/>
      <c r="Q59" s="85"/>
      <c r="R59" s="86"/>
      <c r="S59" s="82"/>
      <c r="T59" s="91">
        <v>8.6827711941659071</v>
      </c>
      <c r="U59" s="91">
        <v>7.0062171209947399</v>
      </c>
      <c r="V59" s="91">
        <v>6.5743073047858953</v>
      </c>
      <c r="W59" s="262">
        <v>5.8441558441558437</v>
      </c>
      <c r="X59" s="262">
        <v>6.6235504014272975</v>
      </c>
      <c r="Y59" s="648"/>
      <c r="Z59" s="648"/>
      <c r="AA59" s="648"/>
      <c r="AB59" s="648"/>
      <c r="AC59" s="648"/>
      <c r="AD59" s="648"/>
    </row>
    <row r="60" spans="1:30" ht="15.5">
      <c r="A60" s="1335"/>
      <c r="B60" s="1250"/>
      <c r="C60" s="1328" t="s">
        <v>338</v>
      </c>
      <c r="D60" s="1329"/>
      <c r="E60" s="85">
        <v>40.934320074005548</v>
      </c>
      <c r="F60" s="87"/>
      <c r="G60" s="87"/>
      <c r="H60" s="87"/>
      <c r="I60" s="87"/>
      <c r="J60" s="85">
        <v>36.578313253012048</v>
      </c>
      <c r="K60" s="82"/>
      <c r="L60" s="82"/>
      <c r="M60" s="82"/>
      <c r="N60" s="82"/>
      <c r="O60" s="85">
        <v>32.227163872733492</v>
      </c>
      <c r="P60" s="85"/>
      <c r="Q60" s="85"/>
      <c r="R60" s="86"/>
      <c r="S60" s="82"/>
      <c r="T60" s="91">
        <v>28.114917806114608</v>
      </c>
      <c r="U60" s="91">
        <v>25.892267019167214</v>
      </c>
      <c r="V60" s="91">
        <v>26.764705882352942</v>
      </c>
      <c r="W60" s="262">
        <v>25.978243221302161</v>
      </c>
      <c r="X60" s="262">
        <v>24.924591204953167</v>
      </c>
      <c r="Y60" s="648"/>
      <c r="Z60" s="648"/>
      <c r="AA60" s="648"/>
      <c r="AB60" s="648"/>
      <c r="AC60" s="648"/>
      <c r="AD60" s="648"/>
    </row>
    <row r="61" spans="1:30" ht="16" thickBot="1">
      <c r="A61" s="1336"/>
      <c r="B61" s="1345"/>
      <c r="C61" s="1348" t="s">
        <v>339</v>
      </c>
      <c r="D61" s="1349"/>
      <c r="E61" s="92">
        <f>+E60-E59</f>
        <v>37.169867264110415</v>
      </c>
      <c r="F61" s="88"/>
      <c r="G61" s="88"/>
      <c r="H61" s="88"/>
      <c r="I61" s="88"/>
      <c r="J61" s="92">
        <f>+J60-J59</f>
        <v>30.8557394133496</v>
      </c>
      <c r="K61" s="89"/>
      <c r="L61" s="89"/>
      <c r="M61" s="89"/>
      <c r="N61" s="89"/>
      <c r="O61" s="92">
        <f>+O60-O59</f>
        <v>27.129522482928774</v>
      </c>
      <c r="P61" s="89"/>
      <c r="Q61" s="89"/>
      <c r="R61" s="89"/>
      <c r="S61" s="90"/>
      <c r="T61" s="92">
        <f>+T60-T59</f>
        <v>19.432146611948703</v>
      </c>
      <c r="U61" s="92">
        <f>+U60-U59</f>
        <v>18.886049898172473</v>
      </c>
      <c r="V61" s="92">
        <f>+V60-V59</f>
        <v>20.190398577567045</v>
      </c>
      <c r="W61" s="92">
        <f>+W60-W59</f>
        <v>20.134087377146319</v>
      </c>
      <c r="X61" s="92">
        <f>+X60-X59</f>
        <v>18.301040803525868</v>
      </c>
    </row>
    <row r="62" spans="1:30" ht="16" customHeight="1" thickBot="1">
      <c r="A62" s="1334" t="s">
        <v>142</v>
      </c>
      <c r="B62" s="1322" t="s">
        <v>246</v>
      </c>
      <c r="C62" s="1350"/>
      <c r="D62" s="1350"/>
      <c r="E62" s="686">
        <v>2005</v>
      </c>
      <c r="F62" s="686">
        <v>2006</v>
      </c>
      <c r="G62" s="686">
        <v>2007</v>
      </c>
      <c r="H62" s="687">
        <v>2008</v>
      </c>
      <c r="I62" s="686">
        <v>2009</v>
      </c>
      <c r="J62" s="287">
        <v>2010</v>
      </c>
      <c r="K62" s="686">
        <v>2011</v>
      </c>
      <c r="L62" s="686">
        <v>2012</v>
      </c>
      <c r="M62" s="686">
        <v>2013</v>
      </c>
      <c r="N62" s="686">
        <v>2014</v>
      </c>
      <c r="O62" s="687">
        <v>2015</v>
      </c>
      <c r="P62" s="686">
        <v>2016</v>
      </c>
      <c r="Q62" s="686">
        <v>2017</v>
      </c>
      <c r="R62" s="686">
        <v>2018</v>
      </c>
      <c r="S62" s="686">
        <v>2019</v>
      </c>
      <c r="T62" s="686">
        <v>2020</v>
      </c>
      <c r="U62" s="686">
        <v>2021</v>
      </c>
      <c r="V62" s="686">
        <v>2022</v>
      </c>
      <c r="W62" s="686">
        <v>2023</v>
      </c>
      <c r="X62" s="688">
        <v>2024</v>
      </c>
      <c r="AA62" s="976"/>
    </row>
    <row r="63" spans="1:30" ht="15.5">
      <c r="A63" s="1335"/>
      <c r="B63" s="1228" t="s">
        <v>617</v>
      </c>
      <c r="C63" s="1351" t="s">
        <v>618</v>
      </c>
      <c r="D63" s="1351"/>
      <c r="E63" s="741">
        <v>5753</v>
      </c>
      <c r="F63" s="741"/>
      <c r="G63" s="741"/>
      <c r="H63" s="741"/>
      <c r="I63" s="741"/>
      <c r="J63" s="741">
        <v>7401</v>
      </c>
      <c r="K63" s="741"/>
      <c r="L63" s="741"/>
      <c r="M63" s="741"/>
      <c r="N63" s="741"/>
      <c r="O63" s="741">
        <v>7912</v>
      </c>
      <c r="P63" s="741"/>
      <c r="Q63" s="741"/>
      <c r="R63" s="741"/>
      <c r="S63" s="741"/>
      <c r="T63" s="741">
        <v>8513</v>
      </c>
      <c r="U63" s="741">
        <v>6992</v>
      </c>
      <c r="V63" s="741">
        <v>7270</v>
      </c>
      <c r="W63" s="741">
        <v>7162</v>
      </c>
      <c r="X63" s="683"/>
    </row>
    <row r="64" spans="1:30" ht="15.5">
      <c r="A64" s="1335"/>
      <c r="B64" s="1229"/>
      <c r="C64" s="1361" t="s">
        <v>619</v>
      </c>
      <c r="D64" s="1361"/>
      <c r="E64" s="740">
        <v>209</v>
      </c>
      <c r="F64" s="740"/>
      <c r="G64" s="740"/>
      <c r="H64" s="740"/>
      <c r="I64" s="740"/>
      <c r="J64" s="740">
        <v>418</v>
      </c>
      <c r="K64" s="740"/>
      <c r="L64" s="740"/>
      <c r="M64" s="740"/>
      <c r="N64" s="740"/>
      <c r="O64" s="740">
        <v>673</v>
      </c>
      <c r="P64" s="740"/>
      <c r="Q64" s="740"/>
      <c r="R64" s="740"/>
      <c r="S64" s="740"/>
      <c r="T64" s="740">
        <v>817</v>
      </c>
      <c r="U64" s="740">
        <v>754</v>
      </c>
      <c r="V64" s="740">
        <v>968</v>
      </c>
      <c r="W64" s="740">
        <v>1103</v>
      </c>
      <c r="X64" s="684"/>
    </row>
    <row r="65" spans="1:34" ht="15.5">
      <c r="A65" s="1335"/>
      <c r="B65" s="1229"/>
      <c r="C65" s="1361" t="s">
        <v>620</v>
      </c>
      <c r="D65" s="1361"/>
      <c r="E65" s="740">
        <v>5544</v>
      </c>
      <c r="F65" s="740"/>
      <c r="G65" s="740"/>
      <c r="H65" s="740"/>
      <c r="I65" s="740"/>
      <c r="J65" s="740">
        <v>6983</v>
      </c>
      <c r="K65" s="740"/>
      <c r="L65" s="740"/>
      <c r="M65" s="740"/>
      <c r="N65" s="740"/>
      <c r="O65" s="740">
        <v>7239</v>
      </c>
      <c r="P65" s="740"/>
      <c r="Q65" s="740"/>
      <c r="R65" s="740"/>
      <c r="S65" s="740"/>
      <c r="T65" s="740">
        <v>7696</v>
      </c>
      <c r="U65" s="740">
        <v>6238</v>
      </c>
      <c r="V65" s="740">
        <v>6302</v>
      </c>
      <c r="W65" s="740">
        <v>6059</v>
      </c>
      <c r="X65" s="684"/>
    </row>
    <row r="66" spans="1:34" ht="15.5">
      <c r="A66" s="1335"/>
      <c r="B66" s="1229"/>
      <c r="C66" s="1362" t="s">
        <v>422</v>
      </c>
      <c r="D66" s="1362"/>
      <c r="E66" s="741">
        <f>+E65-E64</f>
        <v>5335</v>
      </c>
      <c r="F66" s="741"/>
      <c r="G66" s="741"/>
      <c r="H66" s="741"/>
      <c r="I66" s="741"/>
      <c r="J66" s="741">
        <f>+J65-J64</f>
        <v>6565</v>
      </c>
      <c r="K66" s="741"/>
      <c r="L66" s="741"/>
      <c r="M66" s="741"/>
      <c r="N66" s="741"/>
      <c r="O66" s="741">
        <f>+O65-O64</f>
        <v>6566</v>
      </c>
      <c r="P66" s="741"/>
      <c r="Q66" s="741"/>
      <c r="R66" s="741"/>
      <c r="S66" s="741"/>
      <c r="T66" s="741">
        <f>+T65-T64</f>
        <v>6879</v>
      </c>
      <c r="U66" s="741">
        <f>+U65-U64</f>
        <v>5484</v>
      </c>
      <c r="V66" s="741">
        <f>+V65-V64</f>
        <v>5334</v>
      </c>
      <c r="W66" s="741">
        <f>+W65-W64</f>
        <v>4956</v>
      </c>
      <c r="X66" s="684"/>
    </row>
    <row r="67" spans="1:34" ht="16" thickBot="1">
      <c r="A67" s="1335"/>
      <c r="B67" s="1285"/>
      <c r="C67" s="1352" t="s">
        <v>289</v>
      </c>
      <c r="D67" s="1353"/>
      <c r="E67" s="743">
        <f>+E65/E63*100</f>
        <v>96.367112810707454</v>
      </c>
      <c r="F67" s="741"/>
      <c r="G67" s="741"/>
      <c r="H67" s="741"/>
      <c r="I67" s="741"/>
      <c r="J67" s="743">
        <f t="shared" ref="J67:V67" si="3">+J65/J63*100</f>
        <v>94.352114579110932</v>
      </c>
      <c r="K67" s="743" t="e">
        <f t="shared" si="3"/>
        <v>#DIV/0!</v>
      </c>
      <c r="L67" s="743" t="e">
        <f t="shared" si="3"/>
        <v>#DIV/0!</v>
      </c>
      <c r="M67" s="743" t="e">
        <f t="shared" si="3"/>
        <v>#DIV/0!</v>
      </c>
      <c r="N67" s="743" t="e">
        <f t="shared" si="3"/>
        <v>#DIV/0!</v>
      </c>
      <c r="O67" s="743">
        <f t="shared" si="3"/>
        <v>91.493933265925179</v>
      </c>
      <c r="P67" s="743" t="e">
        <f t="shared" si="3"/>
        <v>#DIV/0!</v>
      </c>
      <c r="Q67" s="743" t="e">
        <f t="shared" si="3"/>
        <v>#DIV/0!</v>
      </c>
      <c r="R67" s="743" t="e">
        <f t="shared" si="3"/>
        <v>#DIV/0!</v>
      </c>
      <c r="S67" s="743" t="e">
        <f t="shared" si="3"/>
        <v>#DIV/0!</v>
      </c>
      <c r="T67" s="743">
        <f t="shared" si="3"/>
        <v>90.402913191589334</v>
      </c>
      <c r="U67" s="743">
        <f t="shared" si="3"/>
        <v>89.216247139588106</v>
      </c>
      <c r="V67" s="743">
        <f t="shared" si="3"/>
        <v>86.685006877579099</v>
      </c>
      <c r="W67" s="743">
        <f t="shared" ref="W67" si="4">+W65/W63*100</f>
        <v>84.599273945825189</v>
      </c>
      <c r="X67" s="684"/>
    </row>
    <row r="68" spans="1:34" ht="16" thickBot="1">
      <c r="A68" s="1335"/>
      <c r="B68" s="1322" t="s">
        <v>246</v>
      </c>
      <c r="C68" s="1323"/>
      <c r="D68" s="1323"/>
      <c r="E68" s="744">
        <v>2005</v>
      </c>
      <c r="F68" s="744">
        <v>2006</v>
      </c>
      <c r="G68" s="744">
        <v>2007</v>
      </c>
      <c r="H68" s="745">
        <v>2008</v>
      </c>
      <c r="I68" s="744">
        <v>2009</v>
      </c>
      <c r="J68" s="289">
        <v>2010</v>
      </c>
      <c r="K68" s="744">
        <v>2011</v>
      </c>
      <c r="L68" s="744">
        <v>2012</v>
      </c>
      <c r="M68" s="744">
        <v>2013</v>
      </c>
      <c r="N68" s="744">
        <v>2014</v>
      </c>
      <c r="O68" s="745">
        <v>2015</v>
      </c>
      <c r="P68" s="744">
        <v>2016</v>
      </c>
      <c r="Q68" s="744">
        <v>2017</v>
      </c>
      <c r="R68" s="744">
        <v>2018</v>
      </c>
      <c r="S68" s="744">
        <v>2019</v>
      </c>
      <c r="T68" s="744">
        <v>2020</v>
      </c>
      <c r="U68" s="744">
        <v>2021</v>
      </c>
      <c r="V68" s="744">
        <v>2022</v>
      </c>
      <c r="W68" s="744">
        <v>2023</v>
      </c>
      <c r="X68" s="688">
        <v>2024</v>
      </c>
      <c r="AB68" s="976"/>
      <c r="AC68" s="976"/>
      <c r="AD68" s="976"/>
      <c r="AE68" s="976"/>
      <c r="AF68" s="976"/>
      <c r="AG68" s="976"/>
      <c r="AH68" s="976"/>
    </row>
    <row r="69" spans="1:34" ht="15.5">
      <c r="A69" s="1335"/>
      <c r="B69" s="1363" t="s">
        <v>621</v>
      </c>
      <c r="C69" s="1351" t="s">
        <v>618</v>
      </c>
      <c r="D69" s="1351"/>
      <c r="E69" s="741">
        <v>1093</v>
      </c>
      <c r="F69" s="741"/>
      <c r="G69" s="741"/>
      <c r="H69" s="741"/>
      <c r="I69" s="741"/>
      <c r="J69" s="741">
        <v>1998</v>
      </c>
      <c r="K69" s="741"/>
      <c r="L69" s="741"/>
      <c r="M69" s="741"/>
      <c r="N69" s="741"/>
      <c r="O69" s="741">
        <v>3245</v>
      </c>
      <c r="P69" s="741"/>
      <c r="Q69" s="741"/>
      <c r="R69" s="741"/>
      <c r="S69" s="740"/>
      <c r="T69" s="741">
        <v>3028</v>
      </c>
      <c r="U69" s="741">
        <v>2647</v>
      </c>
      <c r="V69" s="741">
        <v>2552</v>
      </c>
      <c r="W69" s="741">
        <v>2309</v>
      </c>
      <c r="X69" s="683"/>
    </row>
    <row r="70" spans="1:34" ht="15.5">
      <c r="A70" s="1335"/>
      <c r="B70" s="1364"/>
      <c r="C70" s="1361" t="s">
        <v>619</v>
      </c>
      <c r="D70" s="1361"/>
      <c r="E70" s="740">
        <v>146</v>
      </c>
      <c r="F70" s="740"/>
      <c r="G70" s="740"/>
      <c r="H70" s="740"/>
      <c r="I70" s="740"/>
      <c r="J70" s="740">
        <v>237</v>
      </c>
      <c r="K70" s="740"/>
      <c r="L70" s="740"/>
      <c r="M70" s="740"/>
      <c r="N70" s="740"/>
      <c r="O70" s="740">
        <v>463</v>
      </c>
      <c r="P70" s="740"/>
      <c r="Q70" s="740"/>
      <c r="R70" s="740"/>
      <c r="S70" s="740"/>
      <c r="T70" s="740">
        <v>559</v>
      </c>
      <c r="U70" s="740">
        <v>512</v>
      </c>
      <c r="V70" s="740">
        <v>500</v>
      </c>
      <c r="W70" s="740">
        <v>604</v>
      </c>
      <c r="X70" s="684"/>
    </row>
    <row r="71" spans="1:34" ht="15.5">
      <c r="A71" s="1335"/>
      <c r="B71" s="1364"/>
      <c r="C71" s="1361" t="s">
        <v>620</v>
      </c>
      <c r="D71" s="1361"/>
      <c r="E71" s="740">
        <v>947</v>
      </c>
      <c r="F71" s="740"/>
      <c r="G71" s="740"/>
      <c r="H71" s="740"/>
      <c r="I71" s="740"/>
      <c r="J71" s="740">
        <v>1761</v>
      </c>
      <c r="K71" s="740"/>
      <c r="L71" s="740"/>
      <c r="M71" s="740"/>
      <c r="N71" s="740"/>
      <c r="O71" s="740">
        <v>2782</v>
      </c>
      <c r="P71" s="740"/>
      <c r="Q71" s="740"/>
      <c r="R71" s="740"/>
      <c r="S71" s="740"/>
      <c r="T71" s="740">
        <v>2469</v>
      </c>
      <c r="U71" s="740">
        <v>2135</v>
      </c>
      <c r="V71" s="740">
        <v>2052</v>
      </c>
      <c r="W71" s="740">
        <v>1705</v>
      </c>
      <c r="X71" s="684"/>
    </row>
    <row r="72" spans="1:34" ht="15.5">
      <c r="A72" s="1335"/>
      <c r="B72" s="1365"/>
      <c r="C72" s="1362" t="s">
        <v>422</v>
      </c>
      <c r="D72" s="1362"/>
      <c r="E72" s="741">
        <f>+E71-E70</f>
        <v>801</v>
      </c>
      <c r="F72" s="741"/>
      <c r="G72" s="741"/>
      <c r="H72" s="741"/>
      <c r="I72" s="741"/>
      <c r="J72" s="741">
        <f t="shared" ref="J72:V72" si="5">+J71-J70</f>
        <v>1524</v>
      </c>
      <c r="K72" s="741">
        <f t="shared" si="5"/>
        <v>0</v>
      </c>
      <c r="L72" s="741">
        <f t="shared" si="5"/>
        <v>0</v>
      </c>
      <c r="M72" s="741">
        <f t="shared" si="5"/>
        <v>0</v>
      </c>
      <c r="N72" s="741">
        <f t="shared" si="5"/>
        <v>0</v>
      </c>
      <c r="O72" s="741">
        <f t="shared" si="5"/>
        <v>2319</v>
      </c>
      <c r="P72" s="741">
        <f t="shared" si="5"/>
        <v>0</v>
      </c>
      <c r="Q72" s="741">
        <f t="shared" si="5"/>
        <v>0</v>
      </c>
      <c r="R72" s="741">
        <f t="shared" si="5"/>
        <v>0</v>
      </c>
      <c r="S72" s="741">
        <f t="shared" si="5"/>
        <v>0</v>
      </c>
      <c r="T72" s="741">
        <f t="shared" si="5"/>
        <v>1910</v>
      </c>
      <c r="U72" s="741">
        <f t="shared" si="5"/>
        <v>1623</v>
      </c>
      <c r="V72" s="741">
        <f t="shared" si="5"/>
        <v>1552</v>
      </c>
      <c r="W72" s="741">
        <f t="shared" ref="W72" si="6">+W71-W70</f>
        <v>1101</v>
      </c>
      <c r="X72" s="684"/>
    </row>
    <row r="73" spans="1:34" ht="16" thickBot="1">
      <c r="A73" s="1335"/>
      <c r="B73" s="718"/>
      <c r="C73" s="1352" t="s">
        <v>289</v>
      </c>
      <c r="D73" s="1353"/>
      <c r="E73" s="749">
        <f>+E71/E69*100</f>
        <v>86.642268984446474</v>
      </c>
      <c r="F73" s="742"/>
      <c r="G73" s="742"/>
      <c r="H73" s="742"/>
      <c r="I73" s="742"/>
      <c r="J73" s="749">
        <f t="shared" ref="J73:V73" si="7">+J71/J69*100</f>
        <v>88.138138138138132</v>
      </c>
      <c r="K73" s="749" t="e">
        <f t="shared" si="7"/>
        <v>#DIV/0!</v>
      </c>
      <c r="L73" s="749" t="e">
        <f t="shared" si="7"/>
        <v>#DIV/0!</v>
      </c>
      <c r="M73" s="749" t="e">
        <f t="shared" si="7"/>
        <v>#DIV/0!</v>
      </c>
      <c r="N73" s="749" t="e">
        <f t="shared" si="7"/>
        <v>#DIV/0!</v>
      </c>
      <c r="O73" s="749">
        <f t="shared" si="7"/>
        <v>85.731895223420651</v>
      </c>
      <c r="P73" s="749" t="e">
        <f t="shared" si="7"/>
        <v>#DIV/0!</v>
      </c>
      <c r="Q73" s="749" t="e">
        <f t="shared" si="7"/>
        <v>#DIV/0!</v>
      </c>
      <c r="R73" s="749" t="e">
        <f t="shared" si="7"/>
        <v>#DIV/0!</v>
      </c>
      <c r="S73" s="749" t="e">
        <f t="shared" si="7"/>
        <v>#DIV/0!</v>
      </c>
      <c r="T73" s="749">
        <f t="shared" si="7"/>
        <v>81.538969616908858</v>
      </c>
      <c r="U73" s="749">
        <f t="shared" si="7"/>
        <v>80.657347941065353</v>
      </c>
      <c r="V73" s="749">
        <f t="shared" si="7"/>
        <v>80.407523510971785</v>
      </c>
      <c r="W73" s="749">
        <f t="shared" ref="W73" si="8">+W71/W69*100</f>
        <v>73.841489822433957</v>
      </c>
      <c r="X73" s="684"/>
    </row>
    <row r="74" spans="1:34" ht="16" thickBot="1">
      <c r="A74" s="1335"/>
      <c r="B74" s="1322" t="s">
        <v>246</v>
      </c>
      <c r="C74" s="1323"/>
      <c r="D74" s="1323"/>
      <c r="E74" s="746" t="s">
        <v>622</v>
      </c>
      <c r="F74" s="746" t="s">
        <v>623</v>
      </c>
      <c r="G74" s="747" t="s">
        <v>624</v>
      </c>
      <c r="H74" s="746" t="s">
        <v>625</v>
      </c>
      <c r="I74" s="747" t="s">
        <v>626</v>
      </c>
      <c r="J74" s="746" t="s">
        <v>627</v>
      </c>
      <c r="K74" s="747" t="s">
        <v>628</v>
      </c>
      <c r="L74" s="746" t="s">
        <v>629</v>
      </c>
      <c r="M74" s="747" t="s">
        <v>630</v>
      </c>
      <c r="N74" s="746" t="s">
        <v>631</v>
      </c>
      <c r="O74" s="747" t="s">
        <v>632</v>
      </c>
      <c r="P74" s="746" t="s">
        <v>633</v>
      </c>
      <c r="Q74" s="747" t="s">
        <v>634</v>
      </c>
      <c r="R74" s="746" t="s">
        <v>635</v>
      </c>
      <c r="S74" s="746" t="s">
        <v>636</v>
      </c>
      <c r="T74" s="746" t="s">
        <v>637</v>
      </c>
      <c r="U74" s="746" t="s">
        <v>638</v>
      </c>
      <c r="V74" s="746" t="s">
        <v>639</v>
      </c>
      <c r="W74" s="748" t="s">
        <v>640</v>
      </c>
      <c r="X74" s="688" t="s">
        <v>641</v>
      </c>
    </row>
    <row r="75" spans="1:34" ht="15.5">
      <c r="A75" s="1335"/>
      <c r="B75" s="1229" t="s">
        <v>642</v>
      </c>
      <c r="C75" s="1324" t="s">
        <v>643</v>
      </c>
      <c r="D75" s="1325"/>
      <c r="E75" s="93"/>
      <c r="F75" s="93"/>
      <c r="G75" s="93"/>
      <c r="H75" s="93"/>
      <c r="I75" s="93"/>
      <c r="J75" s="93">
        <v>126908</v>
      </c>
      <c r="K75" s="93"/>
      <c r="L75" s="93"/>
      <c r="M75" s="93"/>
      <c r="N75" s="93"/>
      <c r="O75" s="93">
        <v>124214</v>
      </c>
      <c r="P75" s="93"/>
      <c r="Q75" s="93"/>
      <c r="R75" s="93"/>
      <c r="S75" s="93"/>
      <c r="T75" s="93">
        <v>114008</v>
      </c>
      <c r="U75" s="93">
        <v>113346</v>
      </c>
      <c r="V75" s="93">
        <v>113218</v>
      </c>
      <c r="W75" s="93">
        <v>111471</v>
      </c>
      <c r="X75" s="684"/>
    </row>
    <row r="76" spans="1:34" ht="15.5">
      <c r="A76" s="1335"/>
      <c r="B76" s="1229"/>
      <c r="C76" s="1326" t="s">
        <v>345</v>
      </c>
      <c r="D76" s="1327"/>
      <c r="E76" s="93"/>
      <c r="F76" s="93"/>
      <c r="G76" s="93"/>
      <c r="H76" s="93"/>
      <c r="I76" s="93"/>
      <c r="J76" s="993">
        <v>64646</v>
      </c>
      <c r="K76" s="993"/>
      <c r="L76" s="993"/>
      <c r="M76" s="993"/>
      <c r="N76" s="993"/>
      <c r="O76" s="993">
        <v>63458</v>
      </c>
      <c r="P76" s="993"/>
      <c r="Q76" s="993"/>
      <c r="R76" s="993"/>
      <c r="S76" s="993"/>
      <c r="T76" s="993">
        <v>58583</v>
      </c>
      <c r="U76" s="993">
        <v>58392</v>
      </c>
      <c r="V76" s="993">
        <v>58354</v>
      </c>
      <c r="W76" s="993">
        <v>57142</v>
      </c>
      <c r="X76" s="684"/>
    </row>
    <row r="77" spans="1:34" ht="15.5">
      <c r="A77" s="1335"/>
      <c r="B77" s="1229"/>
      <c r="C77" s="1326" t="s">
        <v>346</v>
      </c>
      <c r="D77" s="1327"/>
      <c r="E77" s="93"/>
      <c r="F77" s="93"/>
      <c r="G77" s="93"/>
      <c r="H77" s="93"/>
      <c r="I77" s="93"/>
      <c r="J77" s="993">
        <v>62262</v>
      </c>
      <c r="K77" s="993"/>
      <c r="L77" s="993"/>
      <c r="M77" s="993"/>
      <c r="N77" s="993"/>
      <c r="O77" s="993">
        <v>60756</v>
      </c>
      <c r="P77" s="993"/>
      <c r="Q77" s="993"/>
      <c r="R77" s="993"/>
      <c r="S77" s="993"/>
      <c r="T77" s="993">
        <v>55425</v>
      </c>
      <c r="U77" s="993">
        <v>54954</v>
      </c>
      <c r="V77" s="993">
        <v>54864</v>
      </c>
      <c r="W77" s="993">
        <v>54329</v>
      </c>
      <c r="X77" s="684"/>
    </row>
    <row r="78" spans="1:34" ht="15.5">
      <c r="A78" s="1335"/>
      <c r="B78" s="1229"/>
      <c r="C78" s="1332" t="s">
        <v>644</v>
      </c>
      <c r="D78" s="1333"/>
      <c r="E78" s="93"/>
      <c r="F78" s="93"/>
      <c r="G78" s="93"/>
      <c r="H78" s="93"/>
      <c r="I78" s="93"/>
      <c r="J78" s="749">
        <v>56.628054330947577</v>
      </c>
      <c r="K78" s="91"/>
      <c r="L78" s="91"/>
      <c r="M78" s="91"/>
      <c r="N78" s="91"/>
      <c r="O78" s="749">
        <v>60.115377542032469</v>
      </c>
      <c r="P78" s="91"/>
      <c r="Q78" s="91"/>
      <c r="R78" s="91"/>
      <c r="S78" s="91"/>
      <c r="T78" s="749">
        <v>59.576825196093289</v>
      </c>
      <c r="U78" s="749">
        <v>61.900496969035004</v>
      </c>
      <c r="V78" s="749">
        <v>63.479016568080517</v>
      </c>
      <c r="W78" s="648">
        <f>W75*100/178355</f>
        <v>62.499509405399344</v>
      </c>
      <c r="X78" s="684"/>
    </row>
    <row r="79" spans="1:34" ht="15.5">
      <c r="A79" s="1335"/>
      <c r="B79" s="1229"/>
      <c r="C79" s="1328" t="s">
        <v>645</v>
      </c>
      <c r="D79" s="1329"/>
      <c r="E79" s="40"/>
      <c r="F79" s="40"/>
      <c r="G79" s="40"/>
      <c r="H79" s="40"/>
      <c r="I79" s="40"/>
      <c r="J79" s="91">
        <v>56.301547626305293</v>
      </c>
      <c r="K79" s="93"/>
      <c r="L79" s="93"/>
      <c r="M79" s="93"/>
      <c r="N79" s="93"/>
      <c r="O79" s="91">
        <v>59.993949363737777</v>
      </c>
      <c r="P79" s="40"/>
      <c r="Q79" s="40"/>
      <c r="R79" s="40"/>
      <c r="S79" s="40"/>
      <c r="T79" s="91">
        <v>59.859809741792432</v>
      </c>
      <c r="U79" s="91">
        <v>62.234348687996935</v>
      </c>
      <c r="V79" s="91">
        <v>63.90896745082577</v>
      </c>
      <c r="W79" s="262">
        <f>W76*100/91308</f>
        <v>62.581591974416263</v>
      </c>
      <c r="X79" s="684"/>
    </row>
    <row r="80" spans="1:34" ht="15.5">
      <c r="A80" s="1335"/>
      <c r="B80" s="1229"/>
      <c r="C80" s="1328" t="s">
        <v>646</v>
      </c>
      <c r="D80" s="1329"/>
      <c r="E80" s="40"/>
      <c r="F80" s="40"/>
      <c r="G80" s="40"/>
      <c r="H80" s="40"/>
      <c r="I80" s="40"/>
      <c r="J80" s="91">
        <v>56.971094457712255</v>
      </c>
      <c r="K80" s="93"/>
      <c r="L80" s="93"/>
      <c r="M80" s="93"/>
      <c r="N80" s="93"/>
      <c r="O80" s="91">
        <v>60.242731924007451</v>
      </c>
      <c r="P80" s="40"/>
      <c r="Q80" s="40"/>
      <c r="R80" s="40"/>
      <c r="S80" s="40"/>
      <c r="T80" s="91">
        <v>59.280610935227173</v>
      </c>
      <c r="U80" s="994">
        <v>61.549661753505667</v>
      </c>
      <c r="V80" s="91">
        <v>63.028019345870625</v>
      </c>
      <c r="W80" s="648">
        <f>W77*100/87047</f>
        <v>62.41340884809356</v>
      </c>
      <c r="X80" s="684"/>
    </row>
    <row r="81" spans="1:24" ht="16" thickBot="1">
      <c r="A81" s="1336"/>
      <c r="B81" s="1285"/>
      <c r="C81" s="1330" t="s">
        <v>339</v>
      </c>
      <c r="D81" s="1331"/>
      <c r="E81" s="94"/>
      <c r="F81" s="94"/>
      <c r="G81" s="94"/>
      <c r="H81" s="94"/>
      <c r="I81" s="94"/>
      <c r="J81" s="995">
        <v>0.66954683140696147</v>
      </c>
      <c r="K81" s="995"/>
      <c r="L81" s="995"/>
      <c r="M81" s="995"/>
      <c r="N81" s="995"/>
      <c r="O81" s="995">
        <v>0.24878256026967449</v>
      </c>
      <c r="P81" s="94"/>
      <c r="Q81" s="94"/>
      <c r="R81" s="94"/>
      <c r="S81" s="94"/>
      <c r="T81" s="995">
        <v>-0.57919880656525891</v>
      </c>
      <c r="U81" s="995">
        <v>-0.68468693449126761</v>
      </c>
      <c r="V81" s="995">
        <v>-0.88094810495514508</v>
      </c>
      <c r="W81" s="995">
        <f>W79-W80</f>
        <v>0.16818312632270249</v>
      </c>
      <c r="X81" s="95"/>
    </row>
    <row r="83" spans="1:24">
      <c r="J83" s="960"/>
      <c r="O83" s="960"/>
      <c r="T83" s="960"/>
      <c r="U83" s="960"/>
      <c r="V83" s="960"/>
    </row>
    <row r="84" spans="1:24">
      <c r="J84" s="960"/>
      <c r="O84" s="960"/>
      <c r="T84" s="960"/>
      <c r="U84" s="960"/>
      <c r="V84" s="960"/>
    </row>
    <row r="85" spans="1:24">
      <c r="J85" s="960"/>
      <c r="O85" s="960"/>
      <c r="T85" s="960"/>
      <c r="U85" s="960"/>
      <c r="V85" s="960"/>
    </row>
    <row r="86" spans="1:24">
      <c r="J86" s="961"/>
      <c r="O86" s="961"/>
      <c r="T86" s="961"/>
      <c r="U86" s="961"/>
      <c r="V86" s="961"/>
    </row>
  </sheetData>
  <mergeCells count="47">
    <mergeCell ref="C73:D73"/>
    <mergeCell ref="C64:D64"/>
    <mergeCell ref="C65:D65"/>
    <mergeCell ref="C66:D66"/>
    <mergeCell ref="B68:D68"/>
    <mergeCell ref="B69:B72"/>
    <mergeCell ref="C69:D69"/>
    <mergeCell ref="C70:D70"/>
    <mergeCell ref="C71:D71"/>
    <mergeCell ref="C72:D72"/>
    <mergeCell ref="B36:D36"/>
    <mergeCell ref="C37:C41"/>
    <mergeCell ref="C42:C46"/>
    <mergeCell ref="B37:B51"/>
    <mergeCell ref="C47:C51"/>
    <mergeCell ref="C59:D59"/>
    <mergeCell ref="C60:D60"/>
    <mergeCell ref="C61:D61"/>
    <mergeCell ref="B62:D62"/>
    <mergeCell ref="C63:D63"/>
    <mergeCell ref="B63:B67"/>
    <mergeCell ref="C67:D67"/>
    <mergeCell ref="A62:A81"/>
    <mergeCell ref="B2:D2"/>
    <mergeCell ref="A3:A61"/>
    <mergeCell ref="B3:B35"/>
    <mergeCell ref="C3:C13"/>
    <mergeCell ref="C14:C24"/>
    <mergeCell ref="C25:C35"/>
    <mergeCell ref="B52:D52"/>
    <mergeCell ref="B53:B56"/>
    <mergeCell ref="C53:D53"/>
    <mergeCell ref="C54:D54"/>
    <mergeCell ref="C55:D55"/>
    <mergeCell ref="C56:D56"/>
    <mergeCell ref="B57:D57"/>
    <mergeCell ref="B58:B61"/>
    <mergeCell ref="C58:D58"/>
    <mergeCell ref="B74:D74"/>
    <mergeCell ref="C75:D75"/>
    <mergeCell ref="C76:D76"/>
    <mergeCell ref="C77:D77"/>
    <mergeCell ref="C79:D79"/>
    <mergeCell ref="B75:B81"/>
    <mergeCell ref="C80:D80"/>
    <mergeCell ref="C81:D81"/>
    <mergeCell ref="C78:D78"/>
  </mergeCells>
  <conditionalFormatting sqref="E56">
    <cfRule type="cellIs" dxfId="154" priority="5" operator="greaterThan">
      <formula>0</formula>
    </cfRule>
  </conditionalFormatting>
  <conditionalFormatting sqref="E61">
    <cfRule type="cellIs" dxfId="153" priority="10" operator="greaterThan">
      <formula>0</formula>
    </cfRule>
  </conditionalFormatting>
  <conditionalFormatting sqref="E66:W67">
    <cfRule type="cellIs" dxfId="152" priority="12" operator="greaterThan">
      <formula>0</formula>
    </cfRule>
  </conditionalFormatting>
  <conditionalFormatting sqref="E72:W73">
    <cfRule type="cellIs" dxfId="151" priority="11" operator="greaterThan">
      <formula>0</formula>
    </cfRule>
  </conditionalFormatting>
  <conditionalFormatting sqref="E81:X81">
    <cfRule type="cellIs" dxfId="150" priority="32" operator="lessThan">
      <formula>0</formula>
    </cfRule>
  </conditionalFormatting>
  <conditionalFormatting sqref="I25:I35">
    <cfRule type="cellIs" dxfId="149" priority="37" operator="lessThan">
      <formula>0</formula>
    </cfRule>
    <cfRule type="cellIs" dxfId="148" priority="38" operator="greaterThan">
      <formula>0</formula>
    </cfRule>
    <cfRule type="cellIs" dxfId="147" priority="39" operator="equal">
      <formula>0</formula>
    </cfRule>
  </conditionalFormatting>
  <conditionalFormatting sqref="J61">
    <cfRule type="cellIs" dxfId="146" priority="26" operator="greaterThan">
      <formula>0</formula>
    </cfRule>
  </conditionalFormatting>
  <conditionalFormatting sqref="J56:X56">
    <cfRule type="cellIs" dxfId="145" priority="4" operator="greaterThan">
      <formula>0</formula>
    </cfRule>
  </conditionalFormatting>
  <conditionalFormatting sqref="K61:N61 P61:R61">
    <cfRule type="cellIs" dxfId="144" priority="27" operator="lessThan">
      <formula>0</formula>
    </cfRule>
  </conditionalFormatting>
  <conditionalFormatting sqref="O61">
    <cfRule type="cellIs" dxfId="143" priority="25" operator="greaterThan">
      <formula>0</formula>
    </cfRule>
  </conditionalFormatting>
  <conditionalFormatting sqref="T61:X61">
    <cfRule type="cellIs" dxfId="142" priority="24" operator="greaterThan">
      <formula>0</formula>
    </cfRule>
  </conditionalFormatting>
  <conditionalFormatting sqref="U47:U51">
    <cfRule type="cellIs" dxfId="141" priority="6" operator="greaterThan">
      <formula>0</formula>
    </cfRule>
    <cfRule type="cellIs" dxfId="140" priority="7" operator="lessThanOrEqual">
      <formula>0</formula>
    </cfRule>
  </conditionalFormatting>
  <hyperlinks>
    <hyperlink ref="Y1" location="INDICE!A42" display="SIGEM" xr:uid="{162049A7-DD2A-46B6-857C-438133684774}"/>
    <hyperlink ref="B3:B35" location="INDICE!A40" display="6.1 Tiempo dedicado al hogar y a la familia en un día promedio" xr:uid="{6861F6C7-9CFD-4C90-8112-A47E9C7E6B9D}"/>
    <hyperlink ref="B53:B56" location="INDICE!A40" display="6.2 Población ocupada a tiempo parcial por cuidado de niños/as, adultos/as enfermos/as, incapacitados/as o mayores (%)" xr:uid="{45F60F99-E166-4B02-A23D-02F45C4A7D31}"/>
    <hyperlink ref="B58:B61" location="INDICE!A40" display="6.3 Población inactiva cuya situación de inactividad es &quot;labores del hogar&quot; (%)" xr:uid="{6C60FF56-1368-48F5-8315-E4332554CCC9}"/>
    <hyperlink ref="B63:B66" location="INDICE!A40" display="6.4 Excedencias por cuidado de hijos (as) " xr:uid="{A89BEF2E-BE0E-44B1-9B11-E1A02707E258}"/>
    <hyperlink ref="B69:B72" location="INDICE!A40" display="6.5 Excedencias por cuidado de familiares" xr:uid="{CDD1B0D3-D074-4F18-B861-19AA7F3E322C}"/>
    <hyperlink ref="B75:B81" location="INDICE!A40" display="6.6 Población escolarizada en educación infantil de primero y segundo ciclo" xr:uid="{6D7747C6-F4A5-4FDA-933B-AA6B4F99DF5E}"/>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B6B20-3886-442B-B0A9-F4B50CB2487C}">
  <sheetPr>
    <tabColor theme="9" tint="0.79998168889431442"/>
  </sheetPr>
  <dimension ref="A1:Q1"/>
  <sheetViews>
    <sheetView showGridLines="0" topLeftCell="A20" zoomScale="80" zoomScaleNormal="80" workbookViewId="0">
      <selection activeCell="N83" sqref="N83"/>
    </sheetView>
  </sheetViews>
  <sheetFormatPr baseColWidth="10" defaultColWidth="11.453125" defaultRowHeight="14.5"/>
  <sheetData>
    <row r="1" spans="1:17" ht="32" thickTop="1" thickBot="1">
      <c r="A1" s="1165" t="s">
        <v>595</v>
      </c>
      <c r="B1" s="1165"/>
      <c r="C1" s="1165"/>
      <c r="D1" s="1165"/>
      <c r="E1" s="1165"/>
      <c r="F1" s="1165"/>
      <c r="G1" s="1165"/>
      <c r="H1" s="1165"/>
      <c r="I1" s="1165"/>
      <c r="J1" s="1165"/>
      <c r="K1" s="1165"/>
      <c r="L1" s="1165"/>
      <c r="M1" s="1165"/>
      <c r="N1" s="1165"/>
      <c r="O1" s="1165"/>
      <c r="Q1" s="136" t="s">
        <v>245</v>
      </c>
    </row>
  </sheetData>
  <mergeCells count="1">
    <mergeCell ref="A1:O1"/>
  </mergeCells>
  <hyperlinks>
    <hyperlink ref="Q1" location="INDICE!A42" display="SIGEM" xr:uid="{E80E9651-78D0-485B-9C66-E55BA4DAC994}"/>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0E1D-F9EF-4571-948A-A7C42D2D3D0A}">
  <sheetPr>
    <tabColor theme="9" tint="0.79998168889431442"/>
  </sheetPr>
  <dimension ref="A1:D51"/>
  <sheetViews>
    <sheetView showGridLines="0" topLeftCell="A46" zoomScale="90" zoomScaleNormal="90" workbookViewId="0">
      <selection activeCell="E19" sqref="E19"/>
    </sheetView>
  </sheetViews>
  <sheetFormatPr baseColWidth="10" defaultColWidth="11.453125" defaultRowHeight="14.5"/>
  <cols>
    <col min="1" max="1" width="20.453125" customWidth="1"/>
    <col min="2" max="2" width="135.81640625" customWidth="1"/>
  </cols>
  <sheetData>
    <row r="1" spans="1:4" ht="32" thickTop="1" thickBot="1">
      <c r="A1" s="290" t="s">
        <v>595</v>
      </c>
      <c r="B1" s="291"/>
      <c r="D1" s="136" t="s">
        <v>245</v>
      </c>
    </row>
    <row r="2" spans="1:4" ht="16.5" customHeight="1">
      <c r="A2" s="1370" t="s">
        <v>647</v>
      </c>
      <c r="B2" s="1371"/>
    </row>
    <row r="3" spans="1:4" ht="58">
      <c r="A3" s="252" t="s">
        <v>263</v>
      </c>
      <c r="B3" s="253" t="s">
        <v>648</v>
      </c>
    </row>
    <row r="4" spans="1:4" ht="72.5">
      <c r="A4" s="252" t="s">
        <v>265</v>
      </c>
      <c r="B4" s="254" t="s">
        <v>649</v>
      </c>
    </row>
    <row r="5" spans="1:4">
      <c r="A5" s="252" t="s">
        <v>267</v>
      </c>
      <c r="B5" s="253" t="s">
        <v>312</v>
      </c>
    </row>
    <row r="6" spans="1:4">
      <c r="A6" s="252" t="s">
        <v>269</v>
      </c>
      <c r="B6" s="255" t="s">
        <v>650</v>
      </c>
    </row>
    <row r="7" spans="1:4">
      <c r="A7" s="252" t="s">
        <v>271</v>
      </c>
      <c r="B7" s="253" t="s">
        <v>651</v>
      </c>
    </row>
    <row r="8" spans="1:4">
      <c r="A8" s="252" t="s">
        <v>273</v>
      </c>
      <c r="B8" s="256" t="s">
        <v>430</v>
      </c>
    </row>
    <row r="9" spans="1:4" ht="15.5">
      <c r="A9" s="1368" t="s">
        <v>652</v>
      </c>
      <c r="B9" s="1369"/>
    </row>
    <row r="10" spans="1:4" ht="29">
      <c r="A10" s="252" t="s">
        <v>263</v>
      </c>
      <c r="B10" s="711" t="s">
        <v>653</v>
      </c>
    </row>
    <row r="11" spans="1:4" ht="72.5">
      <c r="A11" s="252" t="s">
        <v>265</v>
      </c>
      <c r="B11" s="711" t="s">
        <v>654</v>
      </c>
    </row>
    <row r="12" spans="1:4">
      <c r="A12" s="252" t="s">
        <v>267</v>
      </c>
      <c r="B12" s="711" t="s">
        <v>312</v>
      </c>
    </row>
    <row r="13" spans="1:4" ht="29">
      <c r="A13" s="252" t="s">
        <v>269</v>
      </c>
      <c r="B13" s="712" t="s">
        <v>655</v>
      </c>
    </row>
    <row r="14" spans="1:4">
      <c r="A14" s="252" t="s">
        <v>271</v>
      </c>
      <c r="B14" s="711" t="s">
        <v>656</v>
      </c>
    </row>
    <row r="15" spans="1:4">
      <c r="A15" s="252" t="s">
        <v>273</v>
      </c>
      <c r="B15" s="711" t="s">
        <v>430</v>
      </c>
    </row>
    <row r="16" spans="1:4" ht="15.75" customHeight="1">
      <c r="A16" s="1368" t="s">
        <v>614</v>
      </c>
      <c r="B16" s="1369"/>
    </row>
    <row r="17" spans="1:2" ht="29">
      <c r="A17" s="252" t="s">
        <v>263</v>
      </c>
      <c r="B17" s="256" t="s">
        <v>657</v>
      </c>
    </row>
    <row r="18" spans="1:2" ht="43.5">
      <c r="A18" s="252" t="s">
        <v>265</v>
      </c>
      <c r="B18" s="256" t="s">
        <v>658</v>
      </c>
    </row>
    <row r="19" spans="1:2">
      <c r="A19" s="252" t="s">
        <v>267</v>
      </c>
      <c r="B19" s="256" t="s">
        <v>312</v>
      </c>
    </row>
    <row r="20" spans="1:2">
      <c r="A20" s="252" t="s">
        <v>269</v>
      </c>
      <c r="B20" s="595" t="s">
        <v>659</v>
      </c>
    </row>
    <row r="21" spans="1:2">
      <c r="A21" s="252" t="s">
        <v>271</v>
      </c>
      <c r="B21" s="256" t="s">
        <v>660</v>
      </c>
    </row>
    <row r="22" spans="1:2">
      <c r="A22" s="252" t="s">
        <v>273</v>
      </c>
      <c r="B22" s="256" t="s">
        <v>430</v>
      </c>
    </row>
    <row r="23" spans="1:2" ht="15.75" customHeight="1">
      <c r="A23" s="1368" t="s">
        <v>616</v>
      </c>
      <c r="B23" s="1369"/>
    </row>
    <row r="24" spans="1:2">
      <c r="A24" s="252" t="s">
        <v>263</v>
      </c>
      <c r="B24" s="253" t="s">
        <v>661</v>
      </c>
    </row>
    <row r="25" spans="1:2" ht="58">
      <c r="A25" s="252" t="s">
        <v>265</v>
      </c>
      <c r="B25" s="254" t="s">
        <v>662</v>
      </c>
    </row>
    <row r="26" spans="1:2">
      <c r="A26" s="252" t="s">
        <v>267</v>
      </c>
      <c r="B26" s="256" t="s">
        <v>663</v>
      </c>
    </row>
    <row r="27" spans="1:2">
      <c r="A27" s="252" t="s">
        <v>269</v>
      </c>
      <c r="B27" s="263" t="s">
        <v>664</v>
      </c>
    </row>
    <row r="28" spans="1:2">
      <c r="A28" s="252" t="s">
        <v>271</v>
      </c>
      <c r="B28" s="253" t="s">
        <v>660</v>
      </c>
    </row>
    <row r="29" spans="1:2">
      <c r="A29" s="252" t="s">
        <v>273</v>
      </c>
      <c r="B29" s="253" t="s">
        <v>430</v>
      </c>
    </row>
    <row r="30" spans="1:2" ht="15.75" customHeight="1">
      <c r="A30" s="1368" t="s">
        <v>617</v>
      </c>
      <c r="B30" s="1369"/>
    </row>
    <row r="31" spans="1:2" ht="58">
      <c r="A31" s="252" t="s">
        <v>263</v>
      </c>
      <c r="B31" s="253" t="s">
        <v>665</v>
      </c>
    </row>
    <row r="32" spans="1:2" ht="58">
      <c r="A32" s="252" t="s">
        <v>265</v>
      </c>
      <c r="B32" s="254" t="s">
        <v>666</v>
      </c>
    </row>
    <row r="33" spans="1:2">
      <c r="A33" s="252" t="s">
        <v>267</v>
      </c>
      <c r="B33" s="253" t="s">
        <v>667</v>
      </c>
    </row>
    <row r="34" spans="1:2">
      <c r="A34" s="252" t="s">
        <v>269</v>
      </c>
      <c r="B34" s="255" t="s">
        <v>668</v>
      </c>
    </row>
    <row r="35" spans="1:2">
      <c r="A35" s="252" t="s">
        <v>271</v>
      </c>
      <c r="B35" s="253" t="s">
        <v>669</v>
      </c>
    </row>
    <row r="36" spans="1:2">
      <c r="A36" s="252" t="s">
        <v>273</v>
      </c>
      <c r="B36" s="256" t="s">
        <v>430</v>
      </c>
    </row>
    <row r="37" spans="1:2" ht="15.75" customHeight="1">
      <c r="A37" s="1368" t="s">
        <v>670</v>
      </c>
      <c r="B37" s="1369"/>
    </row>
    <row r="38" spans="1:2" ht="43.5">
      <c r="A38" s="252" t="s">
        <v>263</v>
      </c>
      <c r="B38" s="253" t="s">
        <v>671</v>
      </c>
    </row>
    <row r="39" spans="1:2" ht="58">
      <c r="A39" s="252" t="s">
        <v>265</v>
      </c>
      <c r="B39" s="254" t="s">
        <v>672</v>
      </c>
    </row>
    <row r="40" spans="1:2">
      <c r="A40" s="252" t="s">
        <v>267</v>
      </c>
      <c r="B40" s="253" t="s">
        <v>667</v>
      </c>
    </row>
    <row r="41" spans="1:2">
      <c r="A41" s="252" t="s">
        <v>269</v>
      </c>
      <c r="B41" s="255" t="s">
        <v>668</v>
      </c>
    </row>
    <row r="42" spans="1:2">
      <c r="A42" s="252" t="s">
        <v>271</v>
      </c>
      <c r="B42" s="253" t="s">
        <v>669</v>
      </c>
    </row>
    <row r="43" spans="1:2">
      <c r="A43" s="252" t="s">
        <v>273</v>
      </c>
      <c r="B43" s="256" t="s">
        <v>430</v>
      </c>
    </row>
    <row r="44" spans="1:2" ht="15.75" customHeight="1">
      <c r="A44" s="1368" t="s">
        <v>673</v>
      </c>
      <c r="B44" s="1369"/>
    </row>
    <row r="45" spans="1:2" ht="29">
      <c r="A45" s="252" t="s">
        <v>263</v>
      </c>
      <c r="B45" s="962" t="s">
        <v>674</v>
      </c>
    </row>
    <row r="46" spans="1:2" ht="72.5">
      <c r="A46" s="252" t="s">
        <v>265</v>
      </c>
      <c r="B46" s="963" t="s">
        <v>675</v>
      </c>
    </row>
    <row r="47" spans="1:2">
      <c r="A47" s="252" t="s">
        <v>267</v>
      </c>
      <c r="B47" s="256" t="s">
        <v>312</v>
      </c>
    </row>
    <row r="48" spans="1:2" ht="29">
      <c r="A48" s="1366" t="s">
        <v>269</v>
      </c>
      <c r="B48" s="255" t="s">
        <v>676</v>
      </c>
    </row>
    <row r="49" spans="1:2">
      <c r="A49" s="1367"/>
      <c r="B49" s="255" t="s">
        <v>313</v>
      </c>
    </row>
    <row r="50" spans="1:2">
      <c r="A50" s="252" t="s">
        <v>271</v>
      </c>
      <c r="B50" s="253" t="s">
        <v>669</v>
      </c>
    </row>
    <row r="51" spans="1:2">
      <c r="A51" s="257" t="s">
        <v>273</v>
      </c>
      <c r="B51" s="258" t="s">
        <v>315</v>
      </c>
    </row>
  </sheetData>
  <mergeCells count="8">
    <mergeCell ref="A48:A49"/>
    <mergeCell ref="A44:B44"/>
    <mergeCell ref="A2:B2"/>
    <mergeCell ref="A16:B16"/>
    <mergeCell ref="A23:B23"/>
    <mergeCell ref="A30:B30"/>
    <mergeCell ref="A37:B37"/>
    <mergeCell ref="A9:B9"/>
  </mergeCells>
  <hyperlinks>
    <hyperlink ref="D1" location="INDICE!A42" display="SIGEM" xr:uid="{C97E75CA-AC4A-480A-A7A9-89119928447C}"/>
    <hyperlink ref="B48" r:id="rId1" xr:uid="{7233529D-2A27-4DA1-B555-3B20540D2729}"/>
    <hyperlink ref="B34" r:id="rId2" xr:uid="{A544E575-C55D-4C8D-83F8-FCB1AA5F625C}"/>
    <hyperlink ref="B49" r:id="rId3" xr:uid="{577AD502-0AA5-4A27-B74D-E6D052EF2ECE}"/>
    <hyperlink ref="B41" r:id="rId4" xr:uid="{3F9E7654-67DE-4599-BC2D-58150E382D61}"/>
    <hyperlink ref="B13" r:id="rId5" display="Encuesta de de Características Esenciales de la Población y las Viviendas (ECEPOV), Instituto Nacional de Estadística (INE)." xr:uid="{FC3BD2F2-02C0-463A-A9B1-24AD32FB88D1}"/>
    <hyperlink ref="B27" r:id="rId6" xr:uid="{51CFE181-0DCD-4339-B3CD-E102D516BFD3}"/>
    <hyperlink ref="B20" r:id="rId7" xr:uid="{A657DEB5-82EA-451C-8010-F0153D5161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F29B-53FF-4DB9-9C16-BCAF26AB9FCC}">
  <sheetPr>
    <tabColor theme="2" tint="-9.9978637043366805E-2"/>
  </sheetPr>
  <dimension ref="A1:V19"/>
  <sheetViews>
    <sheetView showGridLines="0" zoomScale="60" zoomScaleNormal="60" workbookViewId="0">
      <selection activeCell="A3" sqref="A3:C3"/>
    </sheetView>
  </sheetViews>
  <sheetFormatPr baseColWidth="10" defaultColWidth="11.453125" defaultRowHeight="14.5"/>
  <cols>
    <col min="1" max="1" width="19.54296875" customWidth="1"/>
    <col min="2" max="2" width="38.81640625" customWidth="1"/>
    <col min="3" max="3" width="14.1796875" customWidth="1"/>
  </cols>
  <sheetData>
    <row r="1" spans="1:22" ht="32.5" customHeight="1" thickTop="1" thickBot="1">
      <c r="A1" s="1157" t="s">
        <v>244</v>
      </c>
      <c r="B1" s="1157"/>
      <c r="C1" s="1157"/>
      <c r="D1" s="1157"/>
      <c r="E1" s="1157"/>
      <c r="F1" s="1157"/>
      <c r="G1" s="1157"/>
      <c r="H1" s="1157"/>
      <c r="I1" s="1157"/>
      <c r="J1" s="1157"/>
      <c r="K1" s="1157"/>
      <c r="L1" s="1157"/>
      <c r="M1" s="1157"/>
      <c r="N1" s="1157"/>
      <c r="O1" s="1157"/>
      <c r="P1" s="1157"/>
      <c r="Q1" s="1157"/>
      <c r="R1" s="1157"/>
      <c r="S1" s="1157"/>
      <c r="T1" s="1157"/>
      <c r="V1" s="136" t="s">
        <v>245</v>
      </c>
    </row>
    <row r="2" spans="1:22" s="112" customFormat="1" ht="16" thickTop="1">
      <c r="A2" s="109" t="s">
        <v>246</v>
      </c>
      <c r="B2" s="111"/>
      <c r="C2" s="111"/>
      <c r="D2" s="111">
        <v>2006</v>
      </c>
      <c r="E2" s="111">
        <v>2007</v>
      </c>
      <c r="F2" s="111">
        <v>2008</v>
      </c>
      <c r="G2" s="111">
        <v>2009</v>
      </c>
      <c r="H2" s="109">
        <v>2010</v>
      </c>
      <c r="I2" s="111">
        <v>2011</v>
      </c>
      <c r="J2" s="111">
        <v>2012</v>
      </c>
      <c r="K2" s="111">
        <v>2013</v>
      </c>
      <c r="L2" s="111">
        <v>2014</v>
      </c>
      <c r="M2" s="111">
        <v>2015</v>
      </c>
      <c r="N2" s="111">
        <v>2016</v>
      </c>
      <c r="O2" s="111">
        <v>2017</v>
      </c>
      <c r="P2" s="109">
        <v>2018</v>
      </c>
      <c r="Q2" s="111">
        <v>2019</v>
      </c>
      <c r="R2" s="111">
        <v>2020</v>
      </c>
      <c r="S2" s="111">
        <v>2021</v>
      </c>
      <c r="T2" s="111">
        <v>2022</v>
      </c>
      <c r="U2" s="111">
        <v>2023</v>
      </c>
    </row>
    <row r="3" spans="1:22" s="11" customFormat="1" ht="22" customHeight="1">
      <c r="A3" s="1158" t="s">
        <v>247</v>
      </c>
      <c r="B3" s="1158"/>
      <c r="C3" s="1158"/>
      <c r="D3" s="948">
        <v>0.59299999999999997</v>
      </c>
      <c r="E3" s="948">
        <v>0.59399999999999997</v>
      </c>
      <c r="F3" s="948">
        <v>0.60499999999999998</v>
      </c>
      <c r="G3" s="948">
        <v>0.63</v>
      </c>
      <c r="H3" s="948">
        <v>0.64300000000000002</v>
      </c>
      <c r="I3" s="948">
        <v>0.629</v>
      </c>
      <c r="J3" s="948">
        <v>0.63500000000000001</v>
      </c>
      <c r="K3" s="948">
        <v>0.65100000000000002</v>
      </c>
      <c r="L3" s="948">
        <v>0.66600000000000004</v>
      </c>
      <c r="M3" s="948">
        <v>0.65100000000000002</v>
      </c>
      <c r="N3" s="948">
        <v>0.63700000000000001</v>
      </c>
      <c r="O3" s="948">
        <v>0.65</v>
      </c>
      <c r="P3" s="948">
        <v>0.66200000000000003</v>
      </c>
      <c r="Q3" s="948">
        <v>0.68700000000000006</v>
      </c>
      <c r="R3" s="948">
        <v>0.73299999999999998</v>
      </c>
      <c r="S3" s="948">
        <v>0.70599999999999996</v>
      </c>
      <c r="T3" s="948">
        <v>0.7</v>
      </c>
      <c r="U3" s="948">
        <v>0.67188979368802781</v>
      </c>
    </row>
    <row r="4" spans="1:22" ht="15.5">
      <c r="A4" s="109" t="s">
        <v>246</v>
      </c>
      <c r="B4" s="1155" t="s">
        <v>248</v>
      </c>
      <c r="C4" s="1155"/>
      <c r="D4" s="111">
        <v>2006</v>
      </c>
      <c r="E4" s="111">
        <v>2007</v>
      </c>
      <c r="F4" s="111">
        <v>2008</v>
      </c>
      <c r="G4" s="111">
        <v>2009</v>
      </c>
      <c r="H4" s="109">
        <v>2010</v>
      </c>
      <c r="I4" s="111">
        <v>2011</v>
      </c>
      <c r="J4" s="111">
        <v>2012</v>
      </c>
      <c r="K4" s="111">
        <v>2013</v>
      </c>
      <c r="L4" s="111">
        <v>2014</v>
      </c>
      <c r="M4" s="111">
        <v>2015</v>
      </c>
      <c r="N4" s="111">
        <v>2016</v>
      </c>
      <c r="O4" s="111">
        <v>2017</v>
      </c>
      <c r="P4" s="109">
        <v>2018</v>
      </c>
      <c r="Q4" s="111">
        <v>2019</v>
      </c>
      <c r="R4" s="111">
        <v>2020</v>
      </c>
      <c r="S4" s="111">
        <v>2021</v>
      </c>
      <c r="T4" s="111">
        <v>2022</v>
      </c>
      <c r="U4" s="111">
        <v>2023</v>
      </c>
    </row>
    <row r="5" spans="1:22" ht="15" customHeight="1">
      <c r="A5" s="1154" t="s">
        <v>249</v>
      </c>
      <c r="B5" s="1153" t="s">
        <v>250</v>
      </c>
      <c r="C5" s="1153"/>
      <c r="D5" s="948">
        <v>1.0409999999999999</v>
      </c>
      <c r="E5" s="948">
        <v>1.0309999999999999</v>
      </c>
      <c r="F5" s="948">
        <v>1.097</v>
      </c>
      <c r="G5" s="948">
        <v>1.1639999999999999</v>
      </c>
      <c r="H5" s="948">
        <v>1.0409999999999999</v>
      </c>
      <c r="I5" s="948">
        <v>1.0309999999999999</v>
      </c>
      <c r="J5" s="948">
        <v>1.0329999999999999</v>
      </c>
      <c r="K5" s="948">
        <v>0.96799999999999997</v>
      </c>
      <c r="L5" s="948">
        <v>1.0549999999999999</v>
      </c>
      <c r="M5" s="948">
        <v>1.109</v>
      </c>
      <c r="N5" s="948">
        <v>1.085</v>
      </c>
      <c r="O5" s="948">
        <v>1.0760000000000001</v>
      </c>
      <c r="P5" s="948">
        <v>1.1220000000000001</v>
      </c>
      <c r="Q5" s="948">
        <v>1.08</v>
      </c>
      <c r="R5" s="948">
        <v>1.1759999999999999</v>
      </c>
      <c r="S5" s="948">
        <v>1.202</v>
      </c>
      <c r="T5" s="948">
        <v>1.2008511780029827</v>
      </c>
      <c r="U5" s="948">
        <v>0.96435535133230987</v>
      </c>
    </row>
    <row r="6" spans="1:22">
      <c r="A6" s="1154"/>
      <c r="B6" s="1153" t="s">
        <v>251</v>
      </c>
      <c r="C6" s="1153"/>
      <c r="D6" s="948">
        <v>0.73099999999999998</v>
      </c>
      <c r="E6" s="948">
        <v>0.77200000000000002</v>
      </c>
      <c r="F6" s="948">
        <v>0.76400000000000001</v>
      </c>
      <c r="G6" s="948">
        <v>0.874</v>
      </c>
      <c r="H6" s="948">
        <v>0.85199999999999998</v>
      </c>
      <c r="I6" s="948">
        <v>0.86099999999999999</v>
      </c>
      <c r="J6" s="948">
        <v>0.88800000000000001</v>
      </c>
      <c r="K6" s="948">
        <v>0.85099999999999998</v>
      </c>
      <c r="L6" s="948">
        <v>0.89900000000000002</v>
      </c>
      <c r="M6" s="948">
        <v>0.89</v>
      </c>
      <c r="N6" s="948">
        <v>0.84199999999999997</v>
      </c>
      <c r="O6" s="948">
        <v>0.84399999999999997</v>
      </c>
      <c r="P6" s="948">
        <v>0.82299999999999995</v>
      </c>
      <c r="Q6" s="948">
        <v>0.83899999999999997</v>
      </c>
      <c r="R6" s="948">
        <v>0.79700000000000004</v>
      </c>
      <c r="S6" s="948">
        <v>0.78700000000000003</v>
      </c>
      <c r="T6" s="948">
        <v>0.73221639543260653</v>
      </c>
      <c r="U6" s="948">
        <v>0.80534546885727809</v>
      </c>
    </row>
    <row r="7" spans="1:22">
      <c r="A7" s="1154"/>
      <c r="B7" s="1153" t="s">
        <v>252</v>
      </c>
      <c r="C7" s="1153"/>
      <c r="D7" s="948">
        <v>0.89400000000000002</v>
      </c>
      <c r="E7" s="948">
        <v>0.82599999999999996</v>
      </c>
      <c r="F7" s="948">
        <v>0.82199999999999995</v>
      </c>
      <c r="G7" s="948">
        <v>0.81100000000000005</v>
      </c>
      <c r="H7" s="948">
        <v>0.84099999999999997</v>
      </c>
      <c r="I7" s="948">
        <v>0.879</v>
      </c>
      <c r="J7" s="948">
        <v>0.88600000000000001</v>
      </c>
      <c r="K7" s="948">
        <v>0.94099999999999995</v>
      </c>
      <c r="L7" s="948">
        <v>0.874</v>
      </c>
      <c r="M7" s="948">
        <v>0.89900000000000002</v>
      </c>
      <c r="N7" s="948">
        <v>0.878</v>
      </c>
      <c r="O7" s="948">
        <v>0.86399999999999999</v>
      </c>
      <c r="P7" s="948">
        <v>0.89100000000000001</v>
      </c>
      <c r="Q7" s="948">
        <v>0.88200000000000001</v>
      </c>
      <c r="R7" s="948">
        <v>1.0109999999999999</v>
      </c>
      <c r="S7" s="948">
        <v>0.95499999999999996</v>
      </c>
      <c r="T7" s="948">
        <v>0.86794747742220635</v>
      </c>
      <c r="U7" s="948">
        <v>0.88862621685779841</v>
      </c>
    </row>
    <row r="8" spans="1:22">
      <c r="A8" s="1154"/>
      <c r="B8" s="1153" t="s">
        <v>253</v>
      </c>
      <c r="C8" s="1153"/>
      <c r="D8" s="948">
        <v>0.47099999999999997</v>
      </c>
      <c r="E8" s="948">
        <v>0.49</v>
      </c>
      <c r="F8" s="948">
        <v>0.47899999999999998</v>
      </c>
      <c r="G8" s="948">
        <v>0.49399999999999999</v>
      </c>
      <c r="H8" s="948">
        <v>0.48299999999999998</v>
      </c>
      <c r="I8" s="948">
        <v>0.47099999999999997</v>
      </c>
      <c r="J8" s="948">
        <v>0.46200000000000002</v>
      </c>
      <c r="K8" s="948">
        <v>0.439</v>
      </c>
      <c r="L8" s="948">
        <v>0.47399999999999998</v>
      </c>
      <c r="M8" s="948">
        <v>0.42799999999999999</v>
      </c>
      <c r="N8" s="948">
        <v>0.41799999999999998</v>
      </c>
      <c r="O8" s="948">
        <v>0.45</v>
      </c>
      <c r="P8" s="948">
        <v>0.51100000000000001</v>
      </c>
      <c r="Q8" s="948">
        <v>0.52500000000000002</v>
      </c>
      <c r="R8" s="948">
        <v>0.51900000000000002</v>
      </c>
      <c r="S8" s="948">
        <v>0.48099999999999998</v>
      </c>
      <c r="T8" s="948">
        <v>0.55293016839468945</v>
      </c>
      <c r="U8" s="948">
        <v>0.54127488712467964</v>
      </c>
    </row>
    <row r="9" spans="1:22">
      <c r="A9" s="1154"/>
      <c r="B9" s="1153" t="s">
        <v>254</v>
      </c>
      <c r="C9" s="1153"/>
      <c r="D9" s="948">
        <v>0.23</v>
      </c>
      <c r="E9" s="948">
        <v>0.22900000000000001</v>
      </c>
      <c r="F9" s="948">
        <v>0.246</v>
      </c>
      <c r="G9" s="948">
        <v>0.24399999999999999</v>
      </c>
      <c r="H9" s="948">
        <v>0.30599999999999999</v>
      </c>
      <c r="I9" s="948">
        <v>0.26700000000000002</v>
      </c>
      <c r="J9" s="948">
        <v>0.27500000000000002</v>
      </c>
      <c r="K9" s="948">
        <v>0.34399999999999997</v>
      </c>
      <c r="L9" s="948">
        <v>0.33300000000000002</v>
      </c>
      <c r="M9" s="948">
        <v>0.307</v>
      </c>
      <c r="N9" s="948">
        <v>0.313</v>
      </c>
      <c r="O9" s="948">
        <v>0.32800000000000001</v>
      </c>
      <c r="P9" s="948">
        <v>0.30199999999999999</v>
      </c>
      <c r="Q9" s="948">
        <v>0.36499999999999999</v>
      </c>
      <c r="R9" s="948">
        <v>0.42899999999999999</v>
      </c>
      <c r="S9" s="948">
        <v>0.40200000000000002</v>
      </c>
      <c r="T9" s="948">
        <v>0.38300457911463026</v>
      </c>
      <c r="U9" s="948">
        <v>0.36655057545875924</v>
      </c>
    </row>
    <row r="10" spans="1:22" ht="15.5">
      <c r="A10" s="109" t="s">
        <v>246</v>
      </c>
      <c r="B10" s="111"/>
      <c r="C10" s="111"/>
      <c r="D10" s="111">
        <v>2006</v>
      </c>
      <c r="E10" s="111">
        <v>2007</v>
      </c>
      <c r="F10" s="111">
        <v>2008</v>
      </c>
      <c r="G10" s="111">
        <v>2009</v>
      </c>
      <c r="H10" s="109">
        <v>2010</v>
      </c>
      <c r="I10" s="111">
        <v>2011</v>
      </c>
      <c r="J10" s="111">
        <v>2012</v>
      </c>
      <c r="K10" s="111">
        <v>2013</v>
      </c>
      <c r="L10" s="111">
        <v>2014</v>
      </c>
      <c r="M10" s="111">
        <v>2015</v>
      </c>
      <c r="N10" s="111">
        <v>2016</v>
      </c>
      <c r="O10" s="111">
        <v>2017</v>
      </c>
      <c r="P10" s="109">
        <v>2018</v>
      </c>
      <c r="Q10" s="111">
        <v>2019</v>
      </c>
      <c r="R10" s="113">
        <v>2020</v>
      </c>
      <c r="S10" s="111">
        <v>2021</v>
      </c>
      <c r="T10" s="113">
        <v>2022</v>
      </c>
      <c r="U10" s="111">
        <v>2023</v>
      </c>
      <c r="V10" s="112"/>
    </row>
    <row r="11" spans="1:22" ht="15" customHeight="1">
      <c r="A11" s="1154" t="s">
        <v>255</v>
      </c>
      <c r="B11" s="1156" t="s">
        <v>256</v>
      </c>
      <c r="C11" s="1" t="s">
        <v>257</v>
      </c>
      <c r="D11" s="1"/>
      <c r="E11" s="1"/>
      <c r="F11" s="1"/>
      <c r="G11" s="108"/>
      <c r="H11" s="108"/>
      <c r="I11" s="108"/>
      <c r="J11" s="108"/>
      <c r="K11" s="108"/>
      <c r="L11" s="108"/>
      <c r="M11" s="108"/>
      <c r="N11" s="787">
        <v>68.2</v>
      </c>
      <c r="O11" s="788">
        <v>67</v>
      </c>
      <c r="P11" s="789"/>
      <c r="Q11" s="788">
        <v>69.599999999999994</v>
      </c>
      <c r="R11" s="788"/>
      <c r="S11" s="108"/>
      <c r="U11" s="108"/>
    </row>
    <row r="12" spans="1:22">
      <c r="A12" s="1154"/>
      <c r="B12" s="1156"/>
      <c r="C12" s="1" t="s">
        <v>258</v>
      </c>
      <c r="D12" s="1"/>
      <c r="E12" s="1"/>
      <c r="F12" s="1"/>
      <c r="G12" s="108"/>
      <c r="H12" s="108"/>
      <c r="I12" s="108"/>
      <c r="J12" s="108"/>
      <c r="K12" s="108"/>
      <c r="L12" s="108"/>
      <c r="M12" s="108"/>
      <c r="N12" s="787">
        <v>62.3</v>
      </c>
      <c r="O12" s="788">
        <v>61.5</v>
      </c>
      <c r="P12" s="789"/>
      <c r="Q12" s="788">
        <v>65.3</v>
      </c>
      <c r="R12" s="788"/>
      <c r="S12" s="108"/>
      <c r="T12" s="108"/>
      <c r="U12" s="108"/>
      <c r="V12" s="112"/>
    </row>
    <row r="13" spans="1:22">
      <c r="A13" s="1154"/>
      <c r="B13" s="1156"/>
      <c r="C13" s="1" t="s">
        <v>259</v>
      </c>
      <c r="D13" s="1"/>
      <c r="E13" s="1"/>
      <c r="F13" s="1"/>
      <c r="G13" s="108"/>
      <c r="H13" s="108"/>
      <c r="I13" s="108"/>
      <c r="J13" s="108"/>
      <c r="K13" s="108"/>
      <c r="L13" s="108"/>
      <c r="M13" s="108"/>
      <c r="N13" s="787">
        <v>73.3</v>
      </c>
      <c r="O13" s="788">
        <v>71.599999999999994</v>
      </c>
      <c r="P13" s="789"/>
      <c r="Q13" s="788">
        <v>73.2</v>
      </c>
      <c r="R13" s="788"/>
      <c r="S13" s="108"/>
      <c r="U13" s="108"/>
    </row>
    <row r="14" spans="1:22">
      <c r="A14" s="1154"/>
      <c r="B14" s="1156"/>
      <c r="C14" s="790" t="s">
        <v>260</v>
      </c>
      <c r="D14" s="791"/>
      <c r="E14" s="791"/>
      <c r="F14" s="791"/>
      <c r="G14" s="792"/>
      <c r="H14" s="792"/>
      <c r="I14" s="792"/>
      <c r="J14" s="792"/>
      <c r="K14" s="792"/>
      <c r="L14" s="792"/>
      <c r="M14" s="792"/>
      <c r="N14" s="793">
        <f>+N13-N12</f>
        <v>11</v>
      </c>
      <c r="O14" s="793">
        <f>+O13-O12</f>
        <v>10.099999999999994</v>
      </c>
      <c r="P14" s="793"/>
      <c r="Q14" s="793">
        <f>+Q13-Q12</f>
        <v>7.9000000000000057</v>
      </c>
      <c r="R14" s="793"/>
      <c r="S14" s="792"/>
      <c r="T14" s="792"/>
      <c r="U14" s="792"/>
      <c r="V14" s="112"/>
    </row>
    <row r="15" spans="1:22" ht="14.15" customHeight="1">
      <c r="A15" s="1154"/>
      <c r="B15" s="1156" t="s">
        <v>261</v>
      </c>
      <c r="C15" s="106" t="s">
        <v>262</v>
      </c>
      <c r="D15" s="110"/>
      <c r="E15" s="110"/>
      <c r="F15" s="110"/>
      <c r="G15" s="110"/>
      <c r="H15" s="110"/>
      <c r="I15" s="110"/>
      <c r="J15" s="110"/>
      <c r="K15" s="110"/>
      <c r="L15" s="110"/>
      <c r="M15" s="110"/>
      <c r="N15" s="110"/>
      <c r="O15" s="110"/>
      <c r="P15" s="973"/>
      <c r="Q15" s="788"/>
      <c r="R15" s="788"/>
      <c r="S15" s="973">
        <v>5.4</v>
      </c>
      <c r="U15" s="973"/>
      <c r="V15" s="112"/>
    </row>
    <row r="16" spans="1:22" ht="14.15" customHeight="1">
      <c r="A16" s="1154"/>
      <c r="B16" s="1156"/>
      <c r="C16" s="106" t="s">
        <v>258</v>
      </c>
      <c r="D16" s="110"/>
      <c r="E16" s="110"/>
      <c r="F16" s="110"/>
      <c r="G16" s="110"/>
      <c r="H16" s="110"/>
      <c r="I16" s="110"/>
      <c r="J16" s="110"/>
      <c r="K16" s="110"/>
      <c r="L16" s="110"/>
      <c r="M16" s="110"/>
      <c r="N16" s="110"/>
      <c r="O16" s="110"/>
      <c r="P16" s="974"/>
      <c r="Q16" s="788"/>
      <c r="R16" s="788"/>
      <c r="S16" s="974">
        <v>5</v>
      </c>
      <c r="T16" s="974">
        <v>5</v>
      </c>
      <c r="U16" s="107">
        <v>4.3</v>
      </c>
      <c r="V16" s="112"/>
    </row>
    <row r="17" spans="1:22" ht="14.15" customHeight="1">
      <c r="A17" s="1154"/>
      <c r="B17" s="1156"/>
      <c r="C17" s="106" t="s">
        <v>259</v>
      </c>
      <c r="D17" s="110"/>
      <c r="E17" s="110"/>
      <c r="F17" s="110"/>
      <c r="G17" s="110"/>
      <c r="H17" s="110"/>
      <c r="I17" s="110"/>
      <c r="J17" s="110"/>
      <c r="K17" s="110"/>
      <c r="L17" s="110"/>
      <c r="M17" s="110"/>
      <c r="N17" s="110"/>
      <c r="O17" s="110"/>
      <c r="P17" s="110"/>
      <c r="Q17" s="788"/>
      <c r="R17" s="788"/>
      <c r="S17" s="110">
        <v>5.7</v>
      </c>
      <c r="T17" s="110">
        <v>5.7</v>
      </c>
      <c r="U17" s="973">
        <v>5.4</v>
      </c>
      <c r="V17" s="112"/>
    </row>
    <row r="18" spans="1:22">
      <c r="A18" s="1154"/>
      <c r="B18" s="1156"/>
      <c r="C18" s="646" t="s">
        <v>260</v>
      </c>
      <c r="D18" s="1"/>
      <c r="E18" s="1"/>
      <c r="F18" s="1"/>
      <c r="G18" s="1"/>
      <c r="H18" s="1"/>
      <c r="I18" s="1"/>
      <c r="J18" s="1"/>
      <c r="K18" s="1"/>
      <c r="L18" s="1"/>
      <c r="M18" s="1"/>
      <c r="N18" s="1"/>
      <c r="O18" s="1"/>
      <c r="P18" s="450"/>
      <c r="Q18" s="788"/>
      <c r="R18" s="788"/>
      <c r="S18" s="61">
        <f>+S17-S16</f>
        <v>0.70000000000000018</v>
      </c>
      <c r="T18" s="61">
        <f>+T17-T16</f>
        <v>0.70000000000000018</v>
      </c>
      <c r="U18" s="61">
        <f>+U17-U16</f>
        <v>1.1000000000000005</v>
      </c>
      <c r="V18" s="112"/>
    </row>
    <row r="19" spans="1:22">
      <c r="V19" s="112"/>
    </row>
  </sheetData>
  <mergeCells count="12">
    <mergeCell ref="A1:T1"/>
    <mergeCell ref="A3:C3"/>
    <mergeCell ref="B6:C6"/>
    <mergeCell ref="B7:C7"/>
    <mergeCell ref="B8:C8"/>
    <mergeCell ref="B9:C9"/>
    <mergeCell ref="A5:A9"/>
    <mergeCell ref="B4:C4"/>
    <mergeCell ref="B11:B14"/>
    <mergeCell ref="A11:A18"/>
    <mergeCell ref="B15:B18"/>
    <mergeCell ref="B5:C5"/>
  </mergeCells>
  <conditionalFormatting sqref="N14:R14">
    <cfRule type="cellIs" dxfId="219" priority="3" operator="greaterThan">
      <formula>$Q$28</formula>
    </cfRule>
  </conditionalFormatting>
  <conditionalFormatting sqref="S18:U18">
    <cfRule type="cellIs" dxfId="218" priority="1" operator="greaterThan">
      <formula>0</formula>
    </cfRule>
    <cfRule type="cellIs" dxfId="217" priority="2" operator="greaterThan">
      <formula>0.7</formula>
    </cfRule>
  </conditionalFormatting>
  <hyperlinks>
    <hyperlink ref="V1" location="INDICE!A3" display="SIGEM" xr:uid="{24579E1C-9148-45A1-8410-3E86C3D8C95A}"/>
    <hyperlink ref="A3:C3" location="INDICE!A3" display="1.1. Índice de desigualdad de género" xr:uid="{B94B255C-18D3-4F97-8EBA-212AB00B20AB}"/>
    <hyperlink ref="A5:A9" location="INDICE!A3" display="1.2. Índice de desigualdad de género por ámbitos" xr:uid="{3623D10A-1676-4A0E-99F9-61330330CFCC}"/>
    <hyperlink ref="A11:A18" location="INDICE!A3" display="1.3. Percepción de la desigualdad de oportunidades entre mujeres y hombres en la ciudad de Madrid" xr:uid="{44C82647-A039-4E2B-B00A-E6F64F955FB0}"/>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A400-55EE-40B6-B340-2DAB47F3BE5F}">
  <sheetPr>
    <tabColor theme="8" tint="0.79998168889431442"/>
  </sheetPr>
  <dimension ref="A1:AE284"/>
  <sheetViews>
    <sheetView showGridLines="0" topLeftCell="E1" zoomScale="60" zoomScaleNormal="60" workbookViewId="0">
      <selection activeCell="Z197" sqref="Z197"/>
    </sheetView>
  </sheetViews>
  <sheetFormatPr baseColWidth="10" defaultColWidth="9.1796875" defaultRowHeight="14.5"/>
  <cols>
    <col min="1" max="1" width="14.81640625" style="21" customWidth="1"/>
    <col min="2" max="2" width="37.453125" style="21" customWidth="1"/>
    <col min="3" max="3" width="52.54296875" style="199" customWidth="1"/>
    <col min="4" max="4" width="33.81640625" style="21" customWidth="1"/>
    <col min="5" max="5" width="11.453125" style="21" bestFit="1" customWidth="1"/>
    <col min="6" max="9" width="11.453125" style="21" customWidth="1"/>
    <col min="10" max="24" width="12.54296875" style="21" customWidth="1"/>
    <col min="25" max="25" width="9.26953125" style="21" bestFit="1" customWidth="1"/>
    <col min="26" max="26" width="9.81640625" style="21" bestFit="1" customWidth="1"/>
    <col min="27" max="27" width="12.54296875" style="21" customWidth="1"/>
    <col min="28" max="28" width="11.81640625" style="21" customWidth="1"/>
    <col min="29" max="29" width="10.1796875" style="21" customWidth="1"/>
    <col min="30" max="16384" width="9.1796875" style="21"/>
  </cols>
  <sheetData>
    <row r="1" spans="1:28" ht="46.5" customHeight="1" thickBot="1">
      <c r="A1" s="1396" t="s">
        <v>677</v>
      </c>
      <c r="B1" s="1397"/>
      <c r="C1" s="1397"/>
      <c r="D1" s="1397"/>
    </row>
    <row r="2" spans="1:28" ht="50.5" customHeight="1" thickBot="1">
      <c r="A2" s="272" t="s">
        <v>285</v>
      </c>
      <c r="B2" s="1419" t="s">
        <v>246</v>
      </c>
      <c r="C2" s="1420"/>
      <c r="D2" s="388"/>
      <c r="E2" s="274" t="s">
        <v>622</v>
      </c>
      <c r="F2" s="275" t="s">
        <v>623</v>
      </c>
      <c r="G2" s="274" t="s">
        <v>624</v>
      </c>
      <c r="H2" s="275" t="s">
        <v>625</v>
      </c>
      <c r="I2" s="274" t="s">
        <v>626</v>
      </c>
      <c r="J2" s="275" t="s">
        <v>627</v>
      </c>
      <c r="K2" s="274" t="s">
        <v>628</v>
      </c>
      <c r="L2" s="275" t="s">
        <v>629</v>
      </c>
      <c r="M2" s="274" t="s">
        <v>630</v>
      </c>
      <c r="N2" s="275" t="s">
        <v>631</v>
      </c>
      <c r="O2" s="274" t="s">
        <v>632</v>
      </c>
      <c r="P2" s="275" t="s">
        <v>633</v>
      </c>
      <c r="Q2" s="274" t="s">
        <v>634</v>
      </c>
      <c r="R2" s="275" t="s">
        <v>635</v>
      </c>
      <c r="S2" s="275" t="s">
        <v>636</v>
      </c>
      <c r="T2" s="275" t="s">
        <v>637</v>
      </c>
      <c r="U2" s="275" t="s">
        <v>638</v>
      </c>
      <c r="V2" s="275" t="s">
        <v>678</v>
      </c>
      <c r="W2" s="276" t="s">
        <v>640</v>
      </c>
      <c r="X2" s="276" t="s">
        <v>641</v>
      </c>
    </row>
    <row r="3" spans="1:28" ht="15" thickBot="1">
      <c r="A3" s="1455" t="s">
        <v>153</v>
      </c>
      <c r="B3" s="1421" t="s">
        <v>679</v>
      </c>
      <c r="C3" s="1429" t="s">
        <v>680</v>
      </c>
      <c r="D3" s="389" t="s">
        <v>416</v>
      </c>
      <c r="E3" s="384"/>
      <c r="F3" s="267"/>
      <c r="G3" s="267"/>
      <c r="H3" s="267"/>
      <c r="I3" s="267"/>
      <c r="J3" s="294">
        <v>47533</v>
      </c>
      <c r="K3" s="294"/>
      <c r="L3" s="294"/>
      <c r="M3" s="294"/>
      <c r="N3" s="294"/>
      <c r="O3" s="294">
        <v>48734</v>
      </c>
      <c r="P3" s="294"/>
      <c r="Q3" s="294"/>
      <c r="R3" s="294"/>
      <c r="S3" s="294"/>
      <c r="T3" s="294">
        <v>48572</v>
      </c>
      <c r="U3" s="294">
        <v>47249</v>
      </c>
      <c r="V3" s="294">
        <v>46513</v>
      </c>
      <c r="W3" s="1041">
        <v>47051</v>
      </c>
      <c r="X3" s="997"/>
    </row>
    <row r="4" spans="1:28" ht="15" thickBot="1">
      <c r="A4" s="1456"/>
      <c r="B4" s="1421"/>
      <c r="C4" s="1430"/>
      <c r="D4" s="390" t="s">
        <v>345</v>
      </c>
      <c r="E4" s="49"/>
      <c r="F4" s="151"/>
      <c r="G4" s="151"/>
      <c r="H4" s="151"/>
      <c r="I4" s="151"/>
      <c r="J4" s="152">
        <v>32096</v>
      </c>
      <c r="K4" s="152"/>
      <c r="L4" s="152"/>
      <c r="M4" s="152"/>
      <c r="N4" s="152"/>
      <c r="O4" s="152">
        <v>23618</v>
      </c>
      <c r="P4" s="152"/>
      <c r="Q4" s="152"/>
      <c r="R4" s="152"/>
      <c r="S4" s="152"/>
      <c r="T4" s="152">
        <v>23203</v>
      </c>
      <c r="U4" s="152">
        <v>22454</v>
      </c>
      <c r="V4" s="152">
        <v>21898</v>
      </c>
      <c r="W4" s="1042">
        <v>22328</v>
      </c>
      <c r="X4" s="998"/>
    </row>
    <row r="5" spans="1:28" ht="15" thickBot="1">
      <c r="A5" s="1456"/>
      <c r="B5" s="1421"/>
      <c r="C5" s="1431"/>
      <c r="D5" s="391" t="s">
        <v>346</v>
      </c>
      <c r="E5" s="385"/>
      <c r="F5" s="295"/>
      <c r="G5" s="295"/>
      <c r="H5" s="295"/>
      <c r="I5" s="295"/>
      <c r="J5" s="296">
        <v>24437</v>
      </c>
      <c r="K5" s="296"/>
      <c r="L5" s="296"/>
      <c r="M5" s="296"/>
      <c r="N5" s="296"/>
      <c r="O5" s="296">
        <v>25115</v>
      </c>
      <c r="P5" s="296"/>
      <c r="Q5" s="296"/>
      <c r="R5" s="296"/>
      <c r="S5" s="296"/>
      <c r="T5" s="296">
        <v>25369</v>
      </c>
      <c r="U5" s="296">
        <v>24795</v>
      </c>
      <c r="V5" s="296">
        <v>24615</v>
      </c>
      <c r="W5" s="1043">
        <v>24723</v>
      </c>
      <c r="X5" s="999"/>
    </row>
    <row r="6" spans="1:28" ht="15" thickBot="1">
      <c r="A6" s="1456"/>
      <c r="B6" s="1422"/>
      <c r="C6" s="1432" t="s">
        <v>681</v>
      </c>
      <c r="D6" s="392" t="s">
        <v>416</v>
      </c>
      <c r="E6" s="386"/>
      <c r="F6" s="269"/>
      <c r="G6" s="269"/>
      <c r="H6" s="269"/>
      <c r="I6" s="269"/>
      <c r="J6" s="298">
        <v>20829</v>
      </c>
      <c r="K6" s="298"/>
      <c r="L6" s="298"/>
      <c r="M6" s="298"/>
      <c r="N6" s="298"/>
      <c r="O6" s="298">
        <v>11939</v>
      </c>
      <c r="P6" s="298"/>
      <c r="Q6" s="298"/>
      <c r="R6" s="298"/>
      <c r="S6" s="298"/>
      <c r="T6" s="298">
        <v>23386</v>
      </c>
      <c r="U6" s="298">
        <v>23561</v>
      </c>
      <c r="V6" s="298">
        <v>11429</v>
      </c>
      <c r="W6" s="1044">
        <v>23836</v>
      </c>
      <c r="X6" s="1000"/>
      <c r="Y6" s="579"/>
    </row>
    <row r="7" spans="1:28" ht="15" thickBot="1">
      <c r="A7" s="1456"/>
      <c r="B7" s="1422"/>
      <c r="C7" s="1433"/>
      <c r="D7" s="390" t="s">
        <v>345</v>
      </c>
      <c r="E7" s="16"/>
      <c r="F7" s="134"/>
      <c r="G7" s="134"/>
      <c r="H7" s="134"/>
      <c r="I7" s="134"/>
      <c r="J7" s="154">
        <v>11400</v>
      </c>
      <c r="K7" s="154"/>
      <c r="L7" s="154"/>
      <c r="M7" s="154"/>
      <c r="N7" s="154"/>
      <c r="O7" s="154">
        <v>6394</v>
      </c>
      <c r="P7" s="154"/>
      <c r="Q7" s="154"/>
      <c r="R7" s="154"/>
      <c r="S7" s="154"/>
      <c r="T7" s="154">
        <v>12303</v>
      </c>
      <c r="U7" s="154">
        <v>12256</v>
      </c>
      <c r="V7" s="154">
        <v>5496</v>
      </c>
      <c r="W7" s="1045">
        <v>12445</v>
      </c>
      <c r="X7" s="1001"/>
    </row>
    <row r="8" spans="1:28" ht="15" thickBot="1">
      <c r="A8" s="1456"/>
      <c r="B8" s="1422"/>
      <c r="C8" s="1434"/>
      <c r="D8" s="391" t="s">
        <v>346</v>
      </c>
      <c r="E8" s="387"/>
      <c r="F8" s="270"/>
      <c r="G8" s="270"/>
      <c r="H8" s="270"/>
      <c r="I8" s="270"/>
      <c r="J8" s="299">
        <v>9429</v>
      </c>
      <c r="K8" s="299"/>
      <c r="L8" s="299"/>
      <c r="M8" s="299"/>
      <c r="N8" s="299"/>
      <c r="O8" s="299">
        <v>5545</v>
      </c>
      <c r="P8" s="299"/>
      <c r="Q8" s="299"/>
      <c r="R8" s="299"/>
      <c r="S8" s="299"/>
      <c r="T8" s="299">
        <v>11083</v>
      </c>
      <c r="U8" s="299">
        <v>11305</v>
      </c>
      <c r="V8" s="299">
        <v>5483</v>
      </c>
      <c r="W8" s="1046">
        <v>11391</v>
      </c>
      <c r="X8" s="1002"/>
    </row>
    <row r="9" spans="1:28">
      <c r="A9" s="1456"/>
      <c r="B9" s="1422"/>
      <c r="C9" s="1435" t="s">
        <v>682</v>
      </c>
      <c r="D9" s="1436"/>
      <c r="E9" s="173"/>
      <c r="F9" s="173"/>
      <c r="G9" s="173"/>
      <c r="H9" s="173"/>
      <c r="I9" s="173"/>
      <c r="J9" s="297">
        <f>(J6*100)/J3</f>
        <v>43.820082889781837</v>
      </c>
      <c r="K9" s="297"/>
      <c r="L9" s="297"/>
      <c r="M9" s="297"/>
      <c r="N9" s="297"/>
      <c r="O9" s="297">
        <f>(O6*100)/O3</f>
        <v>24.498296876923707</v>
      </c>
      <c r="P9" s="297"/>
      <c r="Q9" s="297"/>
      <c r="R9" s="297"/>
      <c r="S9" s="297"/>
      <c r="T9" s="297">
        <f t="shared" ref="T9" si="0">(T6*100)/T3</f>
        <v>48.147080622580908</v>
      </c>
      <c r="U9" s="297">
        <f t="shared" ref="U9:W11" si="1">(U6*100)/U3</f>
        <v>49.865605621282988</v>
      </c>
      <c r="V9" s="297">
        <f t="shared" si="1"/>
        <v>24.571625137058458</v>
      </c>
      <c r="W9" s="177">
        <f t="shared" si="1"/>
        <v>50.659922212067755</v>
      </c>
      <c r="X9" s="1003"/>
    </row>
    <row r="10" spans="1:28">
      <c r="A10" s="1456"/>
      <c r="B10" s="1422"/>
      <c r="C10" s="1437" t="s">
        <v>683</v>
      </c>
      <c r="D10" s="1438"/>
      <c r="E10" s="134"/>
      <c r="F10" s="134"/>
      <c r="G10" s="134"/>
      <c r="H10" s="134"/>
      <c r="I10" s="134"/>
      <c r="J10" s="156">
        <f>(J7*100)/J4</f>
        <v>35.518444666001997</v>
      </c>
      <c r="K10" s="156"/>
      <c r="L10" s="156"/>
      <c r="M10" s="156"/>
      <c r="N10" s="156"/>
      <c r="O10" s="156">
        <f>(O7*100)/O4</f>
        <v>27.072571767296129</v>
      </c>
      <c r="P10" s="156"/>
      <c r="Q10" s="156"/>
      <c r="R10" s="156"/>
      <c r="S10" s="156"/>
      <c r="T10" s="156">
        <f>(T7*100)/T4</f>
        <v>53.023315950523639</v>
      </c>
      <c r="U10" s="156">
        <f t="shared" si="1"/>
        <v>54.582702413823817</v>
      </c>
      <c r="V10" s="156">
        <f>(V7*100)/V4</f>
        <v>25.098182482418487</v>
      </c>
      <c r="W10" s="177">
        <f t="shared" si="1"/>
        <v>55.737190970978141</v>
      </c>
      <c r="X10" s="1004"/>
    </row>
    <row r="11" spans="1:28">
      <c r="A11" s="1456"/>
      <c r="B11" s="1422"/>
      <c r="C11" s="1437" t="s">
        <v>684</v>
      </c>
      <c r="D11" s="1438"/>
      <c r="E11" s="134"/>
      <c r="F11" s="134"/>
      <c r="G11" s="134"/>
      <c r="H11" s="134"/>
      <c r="I11" s="134"/>
      <c r="J11" s="156">
        <f>(J8*100)/J5</f>
        <v>38.584932684044688</v>
      </c>
      <c r="K11" s="156"/>
      <c r="L11" s="156"/>
      <c r="M11" s="156"/>
      <c r="N11" s="156"/>
      <c r="O11" s="156">
        <f>(O8*100)/O5</f>
        <v>22.078439179773046</v>
      </c>
      <c r="P11" s="156"/>
      <c r="Q11" s="156"/>
      <c r="R11" s="156"/>
      <c r="S11" s="156"/>
      <c r="T11" s="156">
        <f>(T8*100)/T5</f>
        <v>43.687177263589419</v>
      </c>
      <c r="U11" s="156">
        <f t="shared" si="1"/>
        <v>45.593869731800766</v>
      </c>
      <c r="V11" s="156">
        <f t="shared" si="1"/>
        <v>22.275035547430427</v>
      </c>
      <c r="W11" s="177">
        <f t="shared" si="1"/>
        <v>46.074505521174615</v>
      </c>
      <c r="X11" s="1004"/>
    </row>
    <row r="12" spans="1:28" ht="15" thickBot="1">
      <c r="A12" s="1456"/>
      <c r="B12" s="1423"/>
      <c r="C12" s="1375" t="s">
        <v>339</v>
      </c>
      <c r="D12" s="1376"/>
      <c r="E12" s="166"/>
      <c r="F12" s="166"/>
      <c r="G12" s="166"/>
      <c r="H12" s="166"/>
      <c r="I12" s="166"/>
      <c r="J12" s="277">
        <f>+J11-J10</f>
        <v>3.0664880180426906</v>
      </c>
      <c r="K12" s="277"/>
      <c r="L12" s="277"/>
      <c r="M12" s="277"/>
      <c r="N12" s="277"/>
      <c r="O12" s="277">
        <f t="shared" ref="O12:W12" si="2">+O11-O10</f>
        <v>-4.9941325875230831</v>
      </c>
      <c r="P12" s="277"/>
      <c r="Q12" s="277"/>
      <c r="R12" s="277"/>
      <c r="S12" s="277"/>
      <c r="T12" s="277">
        <f t="shared" si="2"/>
        <v>-9.3361386869342198</v>
      </c>
      <c r="U12" s="277">
        <f t="shared" si="2"/>
        <v>-8.9888326820230517</v>
      </c>
      <c r="V12" s="277">
        <f t="shared" si="2"/>
        <v>-2.8231469349880598</v>
      </c>
      <c r="W12" s="277">
        <f t="shared" si="2"/>
        <v>-9.6626854498035257</v>
      </c>
      <c r="X12" s="849"/>
    </row>
    <row r="13" spans="1:28" ht="36" customHeight="1" thickBot="1">
      <c r="A13" s="1457"/>
      <c r="B13" s="1428" t="s">
        <v>246</v>
      </c>
      <c r="C13" s="1401"/>
      <c r="D13" s="273"/>
      <c r="E13" s="274" t="s">
        <v>622</v>
      </c>
      <c r="F13" s="275" t="s">
        <v>623</v>
      </c>
      <c r="G13" s="274" t="s">
        <v>624</v>
      </c>
      <c r="H13" s="275" t="s">
        <v>625</v>
      </c>
      <c r="I13" s="274" t="s">
        <v>626</v>
      </c>
      <c r="J13" s="275" t="s">
        <v>627</v>
      </c>
      <c r="K13" s="274" t="s">
        <v>628</v>
      </c>
      <c r="L13" s="275" t="s">
        <v>629</v>
      </c>
      <c r="M13" s="274" t="s">
        <v>630</v>
      </c>
      <c r="N13" s="275" t="s">
        <v>631</v>
      </c>
      <c r="O13" s="274" t="s">
        <v>632</v>
      </c>
      <c r="P13" s="275" t="s">
        <v>633</v>
      </c>
      <c r="Q13" s="274" t="s">
        <v>634</v>
      </c>
      <c r="R13" s="275" t="s">
        <v>635</v>
      </c>
      <c r="S13" s="275" t="s">
        <v>636</v>
      </c>
      <c r="T13" s="275" t="s">
        <v>637</v>
      </c>
      <c r="U13" s="275" t="s">
        <v>638</v>
      </c>
      <c r="V13" s="275" t="s">
        <v>639</v>
      </c>
      <c r="W13" s="275" t="s">
        <v>640</v>
      </c>
      <c r="X13" s="1005" t="s">
        <v>641</v>
      </c>
      <c r="Y13" s="827"/>
      <c r="Z13" s="827"/>
      <c r="AA13" s="827"/>
      <c r="AB13" s="827"/>
    </row>
    <row r="14" spans="1:28">
      <c r="A14" s="1457"/>
      <c r="B14" s="1402" t="s">
        <v>685</v>
      </c>
      <c r="C14" s="1471" t="s">
        <v>416</v>
      </c>
      <c r="D14" s="1472"/>
      <c r="E14" s="151"/>
      <c r="F14" s="151"/>
      <c r="G14" s="151"/>
      <c r="H14" s="151"/>
      <c r="I14" s="151"/>
      <c r="J14" s="152">
        <v>14116</v>
      </c>
      <c r="K14" s="151"/>
      <c r="L14" s="151"/>
      <c r="M14" s="151"/>
      <c r="N14" s="151"/>
      <c r="O14" s="152">
        <v>16114</v>
      </c>
      <c r="P14" s="152"/>
      <c r="Q14" s="152"/>
      <c r="R14" s="152"/>
      <c r="S14" s="152"/>
      <c r="T14" s="152">
        <v>21865</v>
      </c>
      <c r="U14" s="152">
        <v>22887</v>
      </c>
      <c r="V14" s="892">
        <v>25261</v>
      </c>
      <c r="W14" s="153">
        <v>27209</v>
      </c>
      <c r="X14" s="998"/>
    </row>
    <row r="15" spans="1:28">
      <c r="A15" s="1457"/>
      <c r="B15" s="1403"/>
      <c r="C15" s="1446" t="s">
        <v>345</v>
      </c>
      <c r="D15" s="1447"/>
      <c r="E15" s="151"/>
      <c r="F15" s="151"/>
      <c r="G15" s="151"/>
      <c r="H15" s="151"/>
      <c r="I15" s="151"/>
      <c r="J15" s="153">
        <v>7854</v>
      </c>
      <c r="K15" s="151"/>
      <c r="L15" s="151"/>
      <c r="M15" s="151"/>
      <c r="N15" s="151"/>
      <c r="O15" s="153">
        <v>9254</v>
      </c>
      <c r="P15" s="152"/>
      <c r="Q15" s="152"/>
      <c r="R15" s="152"/>
      <c r="S15" s="152"/>
      <c r="T15" s="153">
        <v>12277</v>
      </c>
      <c r="U15" s="153">
        <v>12427</v>
      </c>
      <c r="V15" s="153">
        <v>13375</v>
      </c>
      <c r="W15" s="153">
        <v>14337</v>
      </c>
      <c r="X15" s="998"/>
    </row>
    <row r="16" spans="1:28">
      <c r="A16" s="1457"/>
      <c r="B16" s="1403"/>
      <c r="C16" s="1446" t="s">
        <v>346</v>
      </c>
      <c r="D16" s="1447"/>
      <c r="E16" s="134"/>
      <c r="F16" s="134"/>
      <c r="G16" s="134"/>
      <c r="H16" s="134"/>
      <c r="I16" s="134"/>
      <c r="J16" s="153">
        <v>6262</v>
      </c>
      <c r="K16" s="134"/>
      <c r="L16" s="134"/>
      <c r="M16" s="134"/>
      <c r="N16" s="134"/>
      <c r="O16" s="153">
        <v>6860</v>
      </c>
      <c r="P16" s="156"/>
      <c r="Q16" s="156"/>
      <c r="R16" s="156"/>
      <c r="S16" s="156"/>
      <c r="T16" s="153">
        <v>9588</v>
      </c>
      <c r="U16" s="153">
        <v>10460</v>
      </c>
      <c r="V16" s="153">
        <v>11886</v>
      </c>
      <c r="W16" s="153">
        <v>12872</v>
      </c>
      <c r="X16" s="1004"/>
    </row>
    <row r="17" spans="1:28" ht="15" thickBot="1">
      <c r="A17" s="1457"/>
      <c r="B17" s="1403"/>
      <c r="C17" s="1448" t="s">
        <v>289</v>
      </c>
      <c r="D17" s="1449"/>
      <c r="E17" s="157"/>
      <c r="F17" s="157"/>
      <c r="G17" s="157"/>
      <c r="H17" s="157"/>
      <c r="I17" s="157"/>
      <c r="J17" s="727">
        <f>J16/J14*100</f>
        <v>44.361008784358177</v>
      </c>
      <c r="K17" s="157"/>
      <c r="L17" s="157"/>
      <c r="M17" s="157"/>
      <c r="N17" s="157"/>
      <c r="O17" s="727">
        <f>O16/O14*100</f>
        <v>42.571676802780189</v>
      </c>
      <c r="P17" s="719"/>
      <c r="Q17" s="719"/>
      <c r="R17" s="719"/>
      <c r="S17" s="719"/>
      <c r="T17" s="727">
        <f>T16/T14*100</f>
        <v>43.850903270066318</v>
      </c>
      <c r="U17" s="727">
        <f>U16/U14*100</f>
        <v>45.702800716563992</v>
      </c>
      <c r="V17" s="727">
        <f>V16/V14*100</f>
        <v>47.052769090693161</v>
      </c>
      <c r="W17" s="727">
        <f>W16/W14*100</f>
        <v>47.307876070417876</v>
      </c>
      <c r="X17" s="1006"/>
      <c r="Y17" s="35"/>
      <c r="Z17" s="35"/>
      <c r="AA17" s="35"/>
      <c r="AB17" s="35"/>
    </row>
    <row r="18" spans="1:28" ht="15" hidden="1" thickBot="1">
      <c r="A18" s="1457"/>
      <c r="B18" s="1403"/>
      <c r="C18" s="1450" t="s">
        <v>686</v>
      </c>
      <c r="D18" s="393" t="s">
        <v>416</v>
      </c>
      <c r="E18" s="151"/>
      <c r="F18" s="151"/>
      <c r="G18" s="151"/>
      <c r="H18" s="151"/>
      <c r="I18" s="151"/>
      <c r="J18" s="152">
        <v>2293</v>
      </c>
      <c r="K18" s="151"/>
      <c r="L18" s="151"/>
      <c r="M18" s="151"/>
      <c r="N18" s="151"/>
      <c r="O18" s="152">
        <v>3011</v>
      </c>
      <c r="P18" s="152"/>
      <c r="Q18" s="152"/>
      <c r="R18" s="152"/>
      <c r="S18" s="152"/>
      <c r="T18" s="152">
        <v>5563</v>
      </c>
      <c r="U18" s="152">
        <v>6516</v>
      </c>
      <c r="V18" s="152">
        <v>8129</v>
      </c>
      <c r="W18" s="149"/>
      <c r="X18" s="998"/>
      <c r="Y18" s="722"/>
      <c r="Z18" s="722"/>
      <c r="AA18" s="722"/>
      <c r="AB18" s="722"/>
    </row>
    <row r="19" spans="1:28" ht="15" hidden="1" thickBot="1">
      <c r="A19" s="1457"/>
      <c r="B19" s="1403"/>
      <c r="C19" s="1450"/>
      <c r="D19" s="238" t="s">
        <v>345</v>
      </c>
      <c r="E19" s="134"/>
      <c r="F19" s="134"/>
      <c r="G19" s="134"/>
      <c r="H19" s="134"/>
      <c r="I19" s="134"/>
      <c r="J19" s="153">
        <v>470</v>
      </c>
      <c r="K19" s="134"/>
      <c r="L19" s="134"/>
      <c r="M19" s="134"/>
      <c r="N19" s="134"/>
      <c r="O19" s="153">
        <v>707</v>
      </c>
      <c r="P19" s="156"/>
      <c r="Q19" s="156"/>
      <c r="R19" s="156"/>
      <c r="S19" s="156"/>
      <c r="T19" s="153">
        <v>1288</v>
      </c>
      <c r="U19" s="153">
        <v>1471</v>
      </c>
      <c r="V19" s="153">
        <v>1843</v>
      </c>
      <c r="W19" s="134"/>
      <c r="X19" s="1004"/>
      <c r="Y19" s="722"/>
      <c r="Z19" s="722"/>
      <c r="AA19" s="722"/>
      <c r="AB19" s="722"/>
    </row>
    <row r="20" spans="1:28" ht="15" hidden="1" thickBot="1">
      <c r="A20" s="1457"/>
      <c r="B20" s="1403"/>
      <c r="C20" s="1450"/>
      <c r="D20" s="238" t="s">
        <v>346</v>
      </c>
      <c r="E20" s="191"/>
      <c r="F20" s="191"/>
      <c r="G20" s="191"/>
      <c r="H20" s="191"/>
      <c r="I20" s="191"/>
      <c r="J20" s="153">
        <v>1823</v>
      </c>
      <c r="K20" s="191"/>
      <c r="L20" s="191"/>
      <c r="M20" s="191"/>
      <c r="N20" s="191"/>
      <c r="O20" s="153">
        <v>2304</v>
      </c>
      <c r="P20" s="454"/>
      <c r="Q20" s="454"/>
      <c r="R20" s="454"/>
      <c r="S20" s="454"/>
      <c r="T20" s="153">
        <v>4275</v>
      </c>
      <c r="U20" s="153">
        <v>5045</v>
      </c>
      <c r="V20" s="153">
        <v>6286</v>
      </c>
      <c r="W20" s="191"/>
      <c r="X20" s="1007"/>
      <c r="Y20" s="722"/>
      <c r="Z20" s="722"/>
      <c r="AA20" s="722"/>
      <c r="AB20" s="722"/>
    </row>
    <row r="21" spans="1:28" ht="15" hidden="1" thickBot="1">
      <c r="A21" s="1457"/>
      <c r="B21" s="1403"/>
      <c r="C21" s="1451"/>
      <c r="D21" s="394" t="s">
        <v>289</v>
      </c>
      <c r="E21" s="162"/>
      <c r="F21" s="162"/>
      <c r="G21" s="162"/>
      <c r="H21" s="162"/>
      <c r="I21" s="162"/>
      <c r="J21" s="723">
        <f>(J20/J18)*100</f>
        <v>79.502834714348012</v>
      </c>
      <c r="K21" s="162"/>
      <c r="L21" s="162"/>
      <c r="M21" s="162"/>
      <c r="N21" s="162"/>
      <c r="O21" s="723">
        <f>(O20/O18)*100</f>
        <v>76.5194287612089</v>
      </c>
      <c r="P21" s="163"/>
      <c r="Q21" s="163"/>
      <c r="R21" s="163"/>
      <c r="S21" s="163"/>
      <c r="T21" s="723">
        <f>(T20/T18)*100</f>
        <v>76.847024986518065</v>
      </c>
      <c r="U21" s="723">
        <f>(U20/U18)*100</f>
        <v>77.424800491098836</v>
      </c>
      <c r="V21" s="723">
        <f>(V20/V18)*100</f>
        <v>77.328084635256488</v>
      </c>
      <c r="W21" s="162"/>
      <c r="X21" s="1008"/>
    </row>
    <row r="22" spans="1:28" ht="15" hidden="1" thickBot="1">
      <c r="A22" s="1457"/>
      <c r="B22" s="1403"/>
      <c r="C22" s="1454" t="s">
        <v>687</v>
      </c>
      <c r="D22" s="393" t="s">
        <v>416</v>
      </c>
      <c r="E22" s="149"/>
      <c r="F22" s="149"/>
      <c r="G22" s="149"/>
      <c r="H22" s="149"/>
      <c r="I22" s="149"/>
      <c r="J22" s="152">
        <v>1727</v>
      </c>
      <c r="K22" s="149"/>
      <c r="L22" s="149"/>
      <c r="M22" s="149"/>
      <c r="N22" s="149"/>
      <c r="O22" s="152">
        <v>2102</v>
      </c>
      <c r="P22" s="152"/>
      <c r="Q22" s="152"/>
      <c r="R22" s="152"/>
      <c r="S22" s="152"/>
      <c r="T22" s="152">
        <v>2790</v>
      </c>
      <c r="U22" s="152">
        <v>3137</v>
      </c>
      <c r="V22" s="152">
        <v>3633</v>
      </c>
      <c r="W22" s="149"/>
      <c r="X22" s="998"/>
    </row>
    <row r="23" spans="1:28" ht="15" hidden="1" thickBot="1">
      <c r="A23" s="1457"/>
      <c r="B23" s="1403"/>
      <c r="C23" s="1450"/>
      <c r="D23" s="238" t="s">
        <v>345</v>
      </c>
      <c r="E23" s="134"/>
      <c r="F23" s="134"/>
      <c r="G23" s="134"/>
      <c r="H23" s="134"/>
      <c r="I23" s="134"/>
      <c r="J23" s="153">
        <v>1527</v>
      </c>
      <c r="K23" s="134"/>
      <c r="L23" s="134"/>
      <c r="M23" s="134"/>
      <c r="N23" s="134"/>
      <c r="O23" s="153">
        <v>1925</v>
      </c>
      <c r="P23" s="156"/>
      <c r="Q23" s="156"/>
      <c r="R23" s="156"/>
      <c r="S23" s="156"/>
      <c r="T23" s="153">
        <v>2553</v>
      </c>
      <c r="U23" s="153">
        <v>2867</v>
      </c>
      <c r="V23" s="153">
        <v>3319</v>
      </c>
      <c r="W23" s="134"/>
      <c r="X23" s="1004"/>
    </row>
    <row r="24" spans="1:28" ht="15" hidden="1" thickBot="1">
      <c r="A24" s="1457"/>
      <c r="B24" s="1403"/>
      <c r="C24" s="1450"/>
      <c r="D24" s="238" t="s">
        <v>346</v>
      </c>
      <c r="E24" s="191"/>
      <c r="F24" s="191"/>
      <c r="G24" s="191"/>
      <c r="H24" s="191"/>
      <c r="I24" s="191"/>
      <c r="J24" s="153">
        <v>200</v>
      </c>
      <c r="K24" s="191"/>
      <c r="L24" s="191"/>
      <c r="M24" s="191"/>
      <c r="N24" s="191"/>
      <c r="O24" s="153">
        <v>177</v>
      </c>
      <c r="P24" s="454"/>
      <c r="Q24" s="454"/>
      <c r="R24" s="454"/>
      <c r="S24" s="454"/>
      <c r="T24" s="153">
        <v>237</v>
      </c>
      <c r="U24" s="153">
        <v>270</v>
      </c>
      <c r="V24" s="153">
        <v>344</v>
      </c>
      <c r="W24" s="191"/>
      <c r="X24" s="1007"/>
    </row>
    <row r="25" spans="1:28" ht="15" hidden="1" thickBot="1">
      <c r="A25" s="1457"/>
      <c r="B25" s="1403"/>
      <c r="C25" s="1451"/>
      <c r="D25" s="394" t="s">
        <v>289</v>
      </c>
      <c r="E25" s="162"/>
      <c r="F25" s="162"/>
      <c r="G25" s="162"/>
      <c r="H25" s="162"/>
      <c r="I25" s="162"/>
      <c r="J25" s="720">
        <f>(J24/J22)*100</f>
        <v>11.580775911986104</v>
      </c>
      <c r="K25" s="162"/>
      <c r="L25" s="162"/>
      <c r="M25" s="162"/>
      <c r="N25" s="162"/>
      <c r="O25" s="720">
        <f>(O24/O22)*100</f>
        <v>8.4205518553758321</v>
      </c>
      <c r="P25" s="163"/>
      <c r="Q25" s="163"/>
      <c r="R25" s="163"/>
      <c r="S25" s="163"/>
      <c r="T25" s="720">
        <f>(T24/T22)*100</f>
        <v>8.4946236559139781</v>
      </c>
      <c r="U25" s="720">
        <f>(U24/U22)*100</f>
        <v>8.6069493146318141</v>
      </c>
      <c r="V25" s="720">
        <f>(V24/V22)*100</f>
        <v>9.468758601706579</v>
      </c>
      <c r="W25" s="162"/>
      <c r="X25" s="1008"/>
    </row>
    <row r="26" spans="1:28" ht="15" hidden="1" thickBot="1">
      <c r="A26" s="1457"/>
      <c r="B26" s="1403"/>
      <c r="C26" s="1454" t="s">
        <v>688</v>
      </c>
      <c r="D26" s="393" t="s">
        <v>416</v>
      </c>
      <c r="E26" s="149"/>
      <c r="F26" s="149"/>
      <c r="G26" s="149"/>
      <c r="H26" s="149"/>
      <c r="I26" s="149"/>
      <c r="J26" s="152">
        <v>2452</v>
      </c>
      <c r="K26" s="149"/>
      <c r="L26" s="149"/>
      <c r="M26" s="149"/>
      <c r="N26" s="149"/>
      <c r="O26" s="152">
        <v>2377</v>
      </c>
      <c r="P26" s="152"/>
      <c r="Q26" s="152"/>
      <c r="R26" s="152"/>
      <c r="S26" s="152"/>
      <c r="T26" s="152">
        <v>2655</v>
      </c>
      <c r="U26" s="152">
        <v>2618</v>
      </c>
      <c r="V26" s="152">
        <v>2567</v>
      </c>
      <c r="W26" s="149"/>
      <c r="X26" s="998"/>
    </row>
    <row r="27" spans="1:28" ht="15" hidden="1" thickBot="1">
      <c r="A27" s="1457"/>
      <c r="B27" s="1403"/>
      <c r="C27" s="1450"/>
      <c r="D27" s="238" t="s">
        <v>345</v>
      </c>
      <c r="E27" s="134"/>
      <c r="F27" s="134"/>
      <c r="G27" s="134"/>
      <c r="H27" s="134"/>
      <c r="I27" s="134"/>
      <c r="J27" s="153">
        <v>600</v>
      </c>
      <c r="K27" s="134"/>
      <c r="L27" s="134"/>
      <c r="M27" s="134"/>
      <c r="N27" s="134"/>
      <c r="O27" s="153">
        <v>891</v>
      </c>
      <c r="P27" s="156"/>
      <c r="Q27" s="156"/>
      <c r="R27" s="156"/>
      <c r="S27" s="156"/>
      <c r="T27" s="153">
        <v>1128</v>
      </c>
      <c r="U27" s="153">
        <v>1072</v>
      </c>
      <c r="V27" s="153">
        <v>1031</v>
      </c>
      <c r="W27" s="134"/>
      <c r="X27" s="1004"/>
    </row>
    <row r="28" spans="1:28" ht="15" hidden="1" thickBot="1">
      <c r="A28" s="1457"/>
      <c r="B28" s="1403"/>
      <c r="C28" s="1450"/>
      <c r="D28" s="238" t="s">
        <v>346</v>
      </c>
      <c r="E28" s="191"/>
      <c r="F28" s="191"/>
      <c r="G28" s="191"/>
      <c r="H28" s="191"/>
      <c r="I28" s="191"/>
      <c r="J28" s="153">
        <v>1793</v>
      </c>
      <c r="K28" s="191"/>
      <c r="L28" s="191"/>
      <c r="M28" s="191"/>
      <c r="N28" s="191"/>
      <c r="O28" s="153">
        <v>1486</v>
      </c>
      <c r="P28" s="454"/>
      <c r="Q28" s="454"/>
      <c r="R28" s="454"/>
      <c r="S28" s="454"/>
      <c r="T28" s="153">
        <v>1527</v>
      </c>
      <c r="U28" s="153">
        <v>1546</v>
      </c>
      <c r="V28" s="153">
        <v>1536</v>
      </c>
      <c r="W28" s="191"/>
      <c r="X28" s="1007"/>
    </row>
    <row r="29" spans="1:28" ht="15" hidden="1" thickBot="1">
      <c r="A29" s="1457"/>
      <c r="B29" s="1403"/>
      <c r="C29" s="1451"/>
      <c r="D29" s="394" t="s">
        <v>289</v>
      </c>
      <c r="E29" s="162"/>
      <c r="F29" s="162"/>
      <c r="G29" s="162"/>
      <c r="H29" s="162"/>
      <c r="I29" s="162"/>
      <c r="J29" s="723">
        <f>(J28/J26)*100</f>
        <v>73.123980424143554</v>
      </c>
      <c r="K29" s="162"/>
      <c r="L29" s="162"/>
      <c r="M29" s="162"/>
      <c r="N29" s="162"/>
      <c r="O29" s="723">
        <f>(O28/O26)*100</f>
        <v>62.515776188472863</v>
      </c>
      <c r="P29" s="163"/>
      <c r="Q29" s="163"/>
      <c r="R29" s="163"/>
      <c r="S29" s="163"/>
      <c r="T29" s="721">
        <f>(T28/T26)*100</f>
        <v>57.514124293785308</v>
      </c>
      <c r="U29" s="721">
        <f>(U28/U26)*100</f>
        <v>59.052711993888465</v>
      </c>
      <c r="V29" s="721">
        <f>(V28/V26)*100</f>
        <v>59.836384885079866</v>
      </c>
      <c r="W29" s="162"/>
      <c r="X29" s="1008"/>
    </row>
    <row r="30" spans="1:28" ht="15" hidden="1" thickBot="1">
      <c r="A30" s="1457"/>
      <c r="B30" s="1403"/>
      <c r="C30" s="1454" t="s">
        <v>689</v>
      </c>
      <c r="D30" s="393" t="s">
        <v>416</v>
      </c>
      <c r="E30" s="149"/>
      <c r="F30" s="149"/>
      <c r="G30" s="149"/>
      <c r="H30" s="149"/>
      <c r="I30" s="149"/>
      <c r="J30" s="152">
        <v>1747</v>
      </c>
      <c r="K30" s="149"/>
      <c r="L30" s="149"/>
      <c r="M30" s="149"/>
      <c r="N30" s="149"/>
      <c r="O30" s="152">
        <v>1399</v>
      </c>
      <c r="P30" s="152"/>
      <c r="Q30" s="152"/>
      <c r="R30" s="152"/>
      <c r="S30" s="152"/>
      <c r="T30" s="152">
        <v>1781</v>
      </c>
      <c r="U30" s="152">
        <v>1662</v>
      </c>
      <c r="V30" s="152">
        <v>1624</v>
      </c>
      <c r="W30" s="149"/>
      <c r="X30" s="998"/>
    </row>
    <row r="31" spans="1:28" ht="15" hidden="1" thickBot="1">
      <c r="A31" s="1457"/>
      <c r="B31" s="1403"/>
      <c r="C31" s="1450"/>
      <c r="D31" s="238" t="s">
        <v>345</v>
      </c>
      <c r="E31" s="134"/>
      <c r="F31" s="134"/>
      <c r="G31" s="134"/>
      <c r="H31" s="134"/>
      <c r="I31" s="134"/>
      <c r="J31" s="153">
        <v>1695</v>
      </c>
      <c r="K31" s="134"/>
      <c r="L31" s="134"/>
      <c r="M31" s="134"/>
      <c r="N31" s="134"/>
      <c r="O31" s="153">
        <v>1339</v>
      </c>
      <c r="P31" s="156"/>
      <c r="Q31" s="156"/>
      <c r="R31" s="156"/>
      <c r="S31" s="156"/>
      <c r="T31" s="153">
        <v>1705</v>
      </c>
      <c r="U31" s="153">
        <v>1591</v>
      </c>
      <c r="V31" s="153">
        <v>1553</v>
      </c>
      <c r="W31" s="134"/>
      <c r="X31" s="1004"/>
    </row>
    <row r="32" spans="1:28" ht="15" hidden="1" thickBot="1">
      <c r="A32" s="1457"/>
      <c r="B32" s="1403"/>
      <c r="C32" s="1450"/>
      <c r="D32" s="238" t="s">
        <v>346</v>
      </c>
      <c r="E32" s="191"/>
      <c r="F32" s="191"/>
      <c r="G32" s="191"/>
      <c r="H32" s="191"/>
      <c r="I32" s="191"/>
      <c r="J32" s="153">
        <v>52</v>
      </c>
      <c r="K32" s="191"/>
      <c r="L32" s="191"/>
      <c r="M32" s="191"/>
      <c r="N32" s="191"/>
      <c r="O32" s="153">
        <v>60</v>
      </c>
      <c r="P32" s="454"/>
      <c r="Q32" s="454"/>
      <c r="R32" s="454"/>
      <c r="S32" s="454"/>
      <c r="T32" s="153">
        <v>76</v>
      </c>
      <c r="U32" s="153">
        <v>71</v>
      </c>
      <c r="V32" s="153">
        <v>71</v>
      </c>
      <c r="W32" s="191"/>
      <c r="X32" s="1007"/>
    </row>
    <row r="33" spans="1:24" ht="15" hidden="1" thickBot="1">
      <c r="A33" s="1457"/>
      <c r="B33" s="1403"/>
      <c r="C33" s="1451"/>
      <c r="D33" s="394" t="s">
        <v>289</v>
      </c>
      <c r="E33" s="162"/>
      <c r="F33" s="162"/>
      <c r="G33" s="162"/>
      <c r="H33" s="162"/>
      <c r="I33" s="162"/>
      <c r="J33" s="720">
        <f>(J32/J30)*100</f>
        <v>2.9765311963365768</v>
      </c>
      <c r="K33" s="162"/>
      <c r="L33" s="162"/>
      <c r="M33" s="162"/>
      <c r="N33" s="162"/>
      <c r="O33" s="720">
        <f>(O32/O30)*100</f>
        <v>4.2887776983559691</v>
      </c>
      <c r="P33" s="163"/>
      <c r="Q33" s="163"/>
      <c r="R33" s="163"/>
      <c r="S33" s="163"/>
      <c r="T33" s="720">
        <f>(T32/T30)*100</f>
        <v>4.2672655811341942</v>
      </c>
      <c r="U33" s="720">
        <f>(U32/U30)*100</f>
        <v>4.2719614921780984</v>
      </c>
      <c r="V33" s="720">
        <f>(V32/V30)*100</f>
        <v>4.3719211822660098</v>
      </c>
      <c r="W33" s="162"/>
      <c r="X33" s="1008"/>
    </row>
    <row r="34" spans="1:24" ht="15" hidden="1" thickBot="1">
      <c r="A34" s="1457"/>
      <c r="B34" s="1403"/>
      <c r="C34" s="1454" t="s">
        <v>690</v>
      </c>
      <c r="D34" s="393" t="s">
        <v>416</v>
      </c>
      <c r="E34" s="149"/>
      <c r="F34" s="149"/>
      <c r="G34" s="149"/>
      <c r="H34" s="149"/>
      <c r="I34" s="149"/>
      <c r="J34" s="152">
        <v>1278</v>
      </c>
      <c r="K34" s="149"/>
      <c r="L34" s="149"/>
      <c r="M34" s="149"/>
      <c r="N34" s="149"/>
      <c r="O34" s="152">
        <v>1391</v>
      </c>
      <c r="P34" s="152"/>
      <c r="Q34" s="152"/>
      <c r="R34" s="152"/>
      <c r="S34" s="152"/>
      <c r="T34" s="152">
        <v>1638</v>
      </c>
      <c r="U34" s="152">
        <v>1491</v>
      </c>
      <c r="V34" s="152">
        <v>1605</v>
      </c>
      <c r="W34" s="149"/>
      <c r="X34" s="998"/>
    </row>
    <row r="35" spans="1:24" ht="15" hidden="1" thickBot="1">
      <c r="A35" s="1457"/>
      <c r="B35" s="1403"/>
      <c r="C35" s="1450"/>
      <c r="D35" s="238" t="s">
        <v>345</v>
      </c>
      <c r="E35" s="134"/>
      <c r="F35" s="134"/>
      <c r="G35" s="134"/>
      <c r="H35" s="134"/>
      <c r="I35" s="134"/>
      <c r="J35" s="153">
        <v>1252</v>
      </c>
      <c r="K35" s="134"/>
      <c r="L35" s="134"/>
      <c r="M35" s="134"/>
      <c r="N35" s="134"/>
      <c r="O35" s="153">
        <v>1375</v>
      </c>
      <c r="P35" s="156"/>
      <c r="Q35" s="156"/>
      <c r="R35" s="156"/>
      <c r="S35" s="156"/>
      <c r="T35" s="153">
        <v>1588</v>
      </c>
      <c r="U35" s="153">
        <v>1454</v>
      </c>
      <c r="V35" s="153">
        <v>1556</v>
      </c>
      <c r="W35" s="134"/>
      <c r="X35" s="1004"/>
    </row>
    <row r="36" spans="1:24" ht="15" hidden="1" thickBot="1">
      <c r="A36" s="1457"/>
      <c r="B36" s="1403"/>
      <c r="C36" s="1450"/>
      <c r="D36" s="238" t="s">
        <v>346</v>
      </c>
      <c r="E36" s="191"/>
      <c r="F36" s="191"/>
      <c r="G36" s="191"/>
      <c r="H36" s="191"/>
      <c r="I36" s="191"/>
      <c r="J36" s="153">
        <v>26</v>
      </c>
      <c r="K36" s="191"/>
      <c r="L36" s="191"/>
      <c r="M36" s="191"/>
      <c r="N36" s="191"/>
      <c r="O36" s="153">
        <v>16</v>
      </c>
      <c r="P36" s="454"/>
      <c r="Q36" s="454"/>
      <c r="R36" s="454"/>
      <c r="S36" s="454"/>
      <c r="T36" s="153">
        <v>50</v>
      </c>
      <c r="U36" s="153">
        <v>37</v>
      </c>
      <c r="V36" s="153">
        <v>49</v>
      </c>
      <c r="W36" s="191"/>
      <c r="X36" s="1007"/>
    </row>
    <row r="37" spans="1:24" ht="15" hidden="1" thickBot="1">
      <c r="A37" s="1457"/>
      <c r="B37" s="1403"/>
      <c r="C37" s="1451"/>
      <c r="D37" s="394" t="s">
        <v>289</v>
      </c>
      <c r="E37" s="162"/>
      <c r="F37" s="162"/>
      <c r="G37" s="162"/>
      <c r="H37" s="162"/>
      <c r="I37" s="162"/>
      <c r="J37" s="720">
        <f>(J36/J34)*100</f>
        <v>2.0344287949921753</v>
      </c>
      <c r="K37" s="162"/>
      <c r="L37" s="162"/>
      <c r="M37" s="162"/>
      <c r="N37" s="162"/>
      <c r="O37" s="720">
        <f>(O36/O34)*100</f>
        <v>1.1502516175413373</v>
      </c>
      <c r="P37" s="163"/>
      <c r="Q37" s="163"/>
      <c r="R37" s="163"/>
      <c r="S37" s="163"/>
      <c r="T37" s="720">
        <f>(T36/T34)*100</f>
        <v>3.0525030525030523</v>
      </c>
      <c r="U37" s="720">
        <f>(U36/U34)*100</f>
        <v>2.4815560026827632</v>
      </c>
      <c r="V37" s="720">
        <f>(V36/V34)*100</f>
        <v>3.0529595015576323</v>
      </c>
      <c r="W37" s="162"/>
      <c r="X37" s="1008"/>
    </row>
    <row r="38" spans="1:24" ht="15" hidden="1" thickBot="1">
      <c r="A38" s="1457"/>
      <c r="B38" s="1403"/>
      <c r="C38" s="1454" t="s">
        <v>691</v>
      </c>
      <c r="D38" s="393" t="s">
        <v>416</v>
      </c>
      <c r="E38" s="149"/>
      <c r="F38" s="149"/>
      <c r="G38" s="149"/>
      <c r="H38" s="149"/>
      <c r="I38" s="149"/>
      <c r="J38" s="152">
        <v>451</v>
      </c>
      <c r="K38" s="149"/>
      <c r="L38" s="149"/>
      <c r="M38" s="149"/>
      <c r="N38" s="149"/>
      <c r="O38" s="152">
        <v>752</v>
      </c>
      <c r="P38" s="152"/>
      <c r="Q38" s="152"/>
      <c r="R38" s="152"/>
      <c r="S38" s="152"/>
      <c r="T38" s="152">
        <v>1177</v>
      </c>
      <c r="U38" s="152">
        <v>1200</v>
      </c>
      <c r="V38" s="152">
        <v>1177</v>
      </c>
      <c r="W38" s="149"/>
      <c r="X38" s="998"/>
    </row>
    <row r="39" spans="1:24" ht="15" hidden="1" thickBot="1">
      <c r="A39" s="1457"/>
      <c r="B39" s="1403"/>
      <c r="C39" s="1450"/>
      <c r="D39" s="238" t="s">
        <v>345</v>
      </c>
      <c r="E39" s="134"/>
      <c r="F39" s="134"/>
      <c r="G39" s="134"/>
      <c r="H39" s="134"/>
      <c r="I39" s="134"/>
      <c r="J39" s="153">
        <v>50</v>
      </c>
      <c r="K39" s="134"/>
      <c r="L39" s="134"/>
      <c r="M39" s="134"/>
      <c r="N39" s="134"/>
      <c r="O39" s="153">
        <v>136</v>
      </c>
      <c r="P39" s="156"/>
      <c r="Q39" s="156"/>
      <c r="R39" s="156"/>
      <c r="S39" s="156"/>
      <c r="T39" s="153">
        <v>165</v>
      </c>
      <c r="U39" s="153">
        <v>152</v>
      </c>
      <c r="V39" s="153">
        <v>154</v>
      </c>
      <c r="W39" s="134"/>
      <c r="X39" s="1004"/>
    </row>
    <row r="40" spans="1:24" ht="15" hidden="1" thickBot="1">
      <c r="A40" s="1457"/>
      <c r="B40" s="1403"/>
      <c r="C40" s="1450"/>
      <c r="D40" s="238" t="s">
        <v>346</v>
      </c>
      <c r="E40" s="134"/>
      <c r="F40" s="134"/>
      <c r="G40" s="134"/>
      <c r="H40" s="134"/>
      <c r="I40" s="134"/>
      <c r="J40" s="153">
        <v>401</v>
      </c>
      <c r="K40" s="134"/>
      <c r="L40" s="134"/>
      <c r="M40" s="134"/>
      <c r="N40" s="134"/>
      <c r="O40" s="153">
        <v>616</v>
      </c>
      <c r="P40" s="454"/>
      <c r="Q40" s="454"/>
      <c r="R40" s="454"/>
      <c r="S40" s="454"/>
      <c r="T40" s="153">
        <v>1012</v>
      </c>
      <c r="U40" s="153">
        <v>1048</v>
      </c>
      <c r="V40" s="153">
        <v>1023</v>
      </c>
      <c r="W40" s="134"/>
      <c r="X40" s="1007"/>
    </row>
    <row r="41" spans="1:24" ht="15" hidden="1" thickBot="1">
      <c r="A41" s="1457"/>
      <c r="B41" s="1403"/>
      <c r="C41" s="1451"/>
      <c r="D41" s="394" t="s">
        <v>289</v>
      </c>
      <c r="E41" s="162"/>
      <c r="F41" s="162"/>
      <c r="G41" s="162"/>
      <c r="H41" s="162"/>
      <c r="I41" s="162"/>
      <c r="J41" s="723">
        <f>(J40/J38)*100</f>
        <v>88.91352549889136</v>
      </c>
      <c r="K41" s="162"/>
      <c r="L41" s="162"/>
      <c r="M41" s="162"/>
      <c r="N41" s="162"/>
      <c r="O41" s="723">
        <f>(O40/O38)*100</f>
        <v>81.914893617021278</v>
      </c>
      <c r="P41" s="163"/>
      <c r="Q41" s="163"/>
      <c r="R41" s="163"/>
      <c r="S41" s="163"/>
      <c r="T41" s="723">
        <f>(T40/T38)*100</f>
        <v>85.981308411214954</v>
      </c>
      <c r="U41" s="723">
        <f>(U40/U38)*100</f>
        <v>87.333333333333329</v>
      </c>
      <c r="V41" s="723">
        <f>(V40/V38)*100</f>
        <v>86.915887850467286</v>
      </c>
      <c r="W41" s="162"/>
      <c r="X41" s="1008"/>
    </row>
    <row r="42" spans="1:24" ht="15" hidden="1" thickBot="1">
      <c r="A42" s="1457"/>
      <c r="B42" s="1403"/>
      <c r="C42" s="1454" t="s">
        <v>692</v>
      </c>
      <c r="D42" s="393" t="s">
        <v>416</v>
      </c>
      <c r="E42" s="149"/>
      <c r="F42" s="149"/>
      <c r="G42" s="149"/>
      <c r="H42" s="149"/>
      <c r="I42" s="149"/>
      <c r="J42" s="152">
        <v>15</v>
      </c>
      <c r="K42" s="149"/>
      <c r="L42" s="149"/>
      <c r="M42" s="149"/>
      <c r="N42" s="149"/>
      <c r="O42" s="152">
        <v>133</v>
      </c>
      <c r="P42" s="152"/>
      <c r="Q42" s="152"/>
      <c r="R42" s="152"/>
      <c r="S42" s="152"/>
      <c r="T42" s="152">
        <v>925</v>
      </c>
      <c r="U42" s="152">
        <v>1011</v>
      </c>
      <c r="V42" s="152">
        <v>1181</v>
      </c>
      <c r="W42" s="149"/>
      <c r="X42" s="998"/>
    </row>
    <row r="43" spans="1:24" ht="15" hidden="1" thickBot="1">
      <c r="A43" s="1457"/>
      <c r="B43" s="1403"/>
      <c r="C43" s="1450"/>
      <c r="D43" s="238" t="s">
        <v>345</v>
      </c>
      <c r="E43" s="134"/>
      <c r="F43" s="134"/>
      <c r="G43" s="134"/>
      <c r="H43" s="134"/>
      <c r="I43" s="134"/>
      <c r="J43" s="153">
        <v>35</v>
      </c>
      <c r="K43" s="134"/>
      <c r="L43" s="134"/>
      <c r="M43" s="134"/>
      <c r="N43" s="134"/>
      <c r="O43" s="153">
        <v>102</v>
      </c>
      <c r="P43" s="156"/>
      <c r="Q43" s="156"/>
      <c r="R43" s="156"/>
      <c r="S43" s="156"/>
      <c r="T43" s="153">
        <v>725</v>
      </c>
      <c r="U43" s="153">
        <v>811</v>
      </c>
      <c r="V43" s="153">
        <v>943</v>
      </c>
      <c r="W43" s="134"/>
      <c r="X43" s="1004"/>
    </row>
    <row r="44" spans="1:24" ht="15" hidden="1" thickBot="1">
      <c r="A44" s="1457"/>
      <c r="B44" s="1403"/>
      <c r="C44" s="1450"/>
      <c r="D44" s="238" t="s">
        <v>346</v>
      </c>
      <c r="E44" s="191"/>
      <c r="F44" s="191"/>
      <c r="G44" s="191"/>
      <c r="H44" s="191"/>
      <c r="I44" s="191"/>
      <c r="J44" s="153">
        <v>10</v>
      </c>
      <c r="K44" s="191"/>
      <c r="L44" s="191"/>
      <c r="M44" s="191"/>
      <c r="N44" s="191"/>
      <c r="O44" s="153">
        <v>31</v>
      </c>
      <c r="P44" s="454"/>
      <c r="Q44" s="454"/>
      <c r="R44" s="454"/>
      <c r="S44" s="454"/>
      <c r="T44" s="153">
        <v>200</v>
      </c>
      <c r="U44" s="153">
        <v>200</v>
      </c>
      <c r="V44" s="153">
        <v>238</v>
      </c>
      <c r="W44" s="191"/>
      <c r="X44" s="1007"/>
    </row>
    <row r="45" spans="1:24" ht="15" hidden="1" thickBot="1">
      <c r="A45" s="1457"/>
      <c r="B45" s="1403"/>
      <c r="C45" s="1451"/>
      <c r="D45" s="394" t="s">
        <v>289</v>
      </c>
      <c r="E45" s="162"/>
      <c r="F45" s="162"/>
      <c r="G45" s="162"/>
      <c r="H45" s="162"/>
      <c r="I45" s="162"/>
      <c r="J45" s="723">
        <f>(J44/J42)*100</f>
        <v>66.666666666666657</v>
      </c>
      <c r="K45" s="162"/>
      <c r="L45" s="162"/>
      <c r="M45" s="162"/>
      <c r="N45" s="162"/>
      <c r="O45" s="720">
        <f>(O44/O42)*100</f>
        <v>23.308270676691727</v>
      </c>
      <c r="P45" s="163"/>
      <c r="Q45" s="163"/>
      <c r="R45" s="163"/>
      <c r="S45" s="163"/>
      <c r="T45" s="720">
        <f>(T44/T42)*100</f>
        <v>21.621621621621621</v>
      </c>
      <c r="U45" s="720">
        <f>(U44/U42)*100</f>
        <v>19.782393669634025</v>
      </c>
      <c r="V45" s="720">
        <f>(V44/V42)*100</f>
        <v>20.152413209144793</v>
      </c>
      <c r="W45" s="162"/>
      <c r="X45" s="1008"/>
    </row>
    <row r="46" spans="1:24" ht="15" hidden="1" thickBot="1">
      <c r="A46" s="1457"/>
      <c r="B46" s="1403"/>
      <c r="C46" s="1454" t="s">
        <v>693</v>
      </c>
      <c r="D46" s="393" t="s">
        <v>416</v>
      </c>
      <c r="E46" s="149"/>
      <c r="F46" s="149"/>
      <c r="G46" s="149"/>
      <c r="H46" s="149"/>
      <c r="I46" s="149"/>
      <c r="J46" s="152">
        <v>371</v>
      </c>
      <c r="K46" s="149"/>
      <c r="L46" s="149"/>
      <c r="M46" s="149"/>
      <c r="N46" s="149"/>
      <c r="O46" s="152">
        <v>501</v>
      </c>
      <c r="P46" s="152"/>
      <c r="Q46" s="152"/>
      <c r="R46" s="152"/>
      <c r="S46" s="152"/>
      <c r="T46" s="152">
        <v>924</v>
      </c>
      <c r="U46" s="152">
        <v>845</v>
      </c>
      <c r="V46" s="152">
        <v>789</v>
      </c>
      <c r="W46" s="149"/>
      <c r="X46" s="998"/>
    </row>
    <row r="47" spans="1:24" ht="15" hidden="1" thickBot="1">
      <c r="A47" s="1457"/>
      <c r="B47" s="1403"/>
      <c r="C47" s="1450"/>
      <c r="D47" s="238" t="s">
        <v>345</v>
      </c>
      <c r="E47" s="134"/>
      <c r="F47" s="134"/>
      <c r="G47" s="134"/>
      <c r="H47" s="134"/>
      <c r="I47" s="134"/>
      <c r="J47" s="153">
        <v>206</v>
      </c>
      <c r="K47" s="134"/>
      <c r="L47" s="134"/>
      <c r="M47" s="134"/>
      <c r="N47" s="134"/>
      <c r="O47" s="153">
        <v>286</v>
      </c>
      <c r="P47" s="156"/>
      <c r="Q47" s="156"/>
      <c r="R47" s="156"/>
      <c r="S47" s="156"/>
      <c r="T47" s="153">
        <v>671</v>
      </c>
      <c r="U47" s="153">
        <v>601</v>
      </c>
      <c r="V47" s="153">
        <v>559</v>
      </c>
      <c r="W47" s="134"/>
      <c r="X47" s="1004"/>
    </row>
    <row r="48" spans="1:24" ht="15" hidden="1" thickBot="1">
      <c r="A48" s="1457"/>
      <c r="B48" s="1403"/>
      <c r="C48" s="1450"/>
      <c r="D48" s="238" t="s">
        <v>346</v>
      </c>
      <c r="E48" s="191"/>
      <c r="F48" s="191"/>
      <c r="G48" s="191"/>
      <c r="H48" s="191"/>
      <c r="I48" s="191"/>
      <c r="J48" s="153">
        <v>165</v>
      </c>
      <c r="K48" s="191"/>
      <c r="L48" s="191"/>
      <c r="M48" s="191"/>
      <c r="N48" s="191"/>
      <c r="O48" s="153">
        <v>223</v>
      </c>
      <c r="P48" s="454"/>
      <c r="Q48" s="454"/>
      <c r="R48" s="454"/>
      <c r="S48" s="454"/>
      <c r="T48" s="153">
        <v>253</v>
      </c>
      <c r="U48" s="153">
        <v>244</v>
      </c>
      <c r="V48" s="153">
        <v>230</v>
      </c>
      <c r="W48" s="191"/>
      <c r="X48" s="1007"/>
    </row>
    <row r="49" spans="1:24" ht="15" hidden="1" thickBot="1">
      <c r="A49" s="1457"/>
      <c r="B49" s="1403"/>
      <c r="C49" s="1451"/>
      <c r="D49" s="394" t="s">
        <v>289</v>
      </c>
      <c r="E49" s="162"/>
      <c r="F49" s="162"/>
      <c r="G49" s="162"/>
      <c r="H49" s="162"/>
      <c r="I49" s="162"/>
      <c r="J49" s="721">
        <f>(J48/J46)*100</f>
        <v>44.474393530997304</v>
      </c>
      <c r="K49" s="162"/>
      <c r="L49" s="162"/>
      <c r="M49" s="162"/>
      <c r="N49" s="162"/>
      <c r="O49" s="721">
        <f>(O48/O46)*100</f>
        <v>44.510978043912175</v>
      </c>
      <c r="P49" s="163"/>
      <c r="Q49" s="163"/>
      <c r="R49" s="163"/>
      <c r="S49" s="163"/>
      <c r="T49" s="720">
        <f>(T48/T46)*100</f>
        <v>27.380952380952383</v>
      </c>
      <c r="U49" s="720">
        <f>(U48/U46)*100</f>
        <v>28.875739644970416</v>
      </c>
      <c r="V49" s="720">
        <f>(V48/V46)*100</f>
        <v>29.150823827629914</v>
      </c>
      <c r="W49" s="162"/>
      <c r="X49" s="1008"/>
    </row>
    <row r="50" spans="1:24" ht="15" hidden="1" thickBot="1">
      <c r="A50" s="1457"/>
      <c r="B50" s="1403"/>
      <c r="C50" s="1454" t="s">
        <v>694</v>
      </c>
      <c r="D50" s="393" t="s">
        <v>416</v>
      </c>
      <c r="E50" s="149"/>
      <c r="F50" s="149"/>
      <c r="G50" s="149"/>
      <c r="H50" s="149"/>
      <c r="I50" s="149"/>
      <c r="J50" s="152">
        <v>1109</v>
      </c>
      <c r="K50" s="149"/>
      <c r="L50" s="149"/>
      <c r="M50" s="149"/>
      <c r="N50" s="149"/>
      <c r="O50" s="152">
        <v>1129</v>
      </c>
      <c r="P50" s="152"/>
      <c r="Q50" s="152"/>
      <c r="R50" s="152"/>
      <c r="S50" s="152"/>
      <c r="T50" s="152">
        <v>908</v>
      </c>
      <c r="U50" s="152">
        <v>832</v>
      </c>
      <c r="V50" s="152">
        <v>833</v>
      </c>
      <c r="W50" s="149"/>
      <c r="X50" s="998"/>
    </row>
    <row r="51" spans="1:24" ht="15" hidden="1" thickBot="1">
      <c r="A51" s="1457"/>
      <c r="B51" s="1403"/>
      <c r="C51" s="1450"/>
      <c r="D51" s="238" t="s">
        <v>345</v>
      </c>
      <c r="E51" s="134"/>
      <c r="F51" s="134"/>
      <c r="G51" s="134"/>
      <c r="H51" s="134"/>
      <c r="I51" s="134"/>
      <c r="J51" s="153">
        <v>58</v>
      </c>
      <c r="K51" s="134"/>
      <c r="L51" s="134"/>
      <c r="M51" s="134"/>
      <c r="N51" s="134"/>
      <c r="O51" s="153">
        <v>99</v>
      </c>
      <c r="P51" s="156"/>
      <c r="Q51" s="156"/>
      <c r="R51" s="156"/>
      <c r="S51" s="156"/>
      <c r="T51" s="153">
        <v>111</v>
      </c>
      <c r="U51" s="153">
        <v>78</v>
      </c>
      <c r="V51" s="153">
        <v>76</v>
      </c>
      <c r="W51" s="134"/>
      <c r="X51" s="1004"/>
    </row>
    <row r="52" spans="1:24" ht="15" hidden="1" thickBot="1">
      <c r="A52" s="1457"/>
      <c r="B52" s="1403"/>
      <c r="C52" s="1450"/>
      <c r="D52" s="238" t="s">
        <v>346</v>
      </c>
      <c r="E52" s="191"/>
      <c r="F52" s="191"/>
      <c r="G52" s="191"/>
      <c r="H52" s="191"/>
      <c r="I52" s="191"/>
      <c r="J52" s="153">
        <v>1051</v>
      </c>
      <c r="K52" s="191"/>
      <c r="L52" s="191"/>
      <c r="M52" s="191"/>
      <c r="N52" s="191"/>
      <c r="O52" s="153">
        <v>1030</v>
      </c>
      <c r="P52" s="454"/>
      <c r="Q52" s="454"/>
      <c r="R52" s="454"/>
      <c r="S52" s="454"/>
      <c r="T52" s="153">
        <v>797</v>
      </c>
      <c r="U52" s="153">
        <v>754</v>
      </c>
      <c r="V52" s="153">
        <v>757</v>
      </c>
      <c r="W52" s="191"/>
      <c r="X52" s="1007"/>
    </row>
    <row r="53" spans="1:24" ht="15" hidden="1" thickBot="1">
      <c r="A53" s="1457"/>
      <c r="B53" s="1403"/>
      <c r="C53" s="1451"/>
      <c r="D53" s="394" t="s">
        <v>289</v>
      </c>
      <c r="E53" s="162"/>
      <c r="F53" s="162"/>
      <c r="G53" s="162"/>
      <c r="H53" s="162"/>
      <c r="I53" s="162"/>
      <c r="J53" s="723">
        <f>(J52/J50)*100</f>
        <v>94.770063119927855</v>
      </c>
      <c r="K53" s="162"/>
      <c r="L53" s="162"/>
      <c r="M53" s="162"/>
      <c r="N53" s="162"/>
      <c r="O53" s="723">
        <f>(O52/O50)*100</f>
        <v>91.231178033658097</v>
      </c>
      <c r="P53" s="163"/>
      <c r="Q53" s="163"/>
      <c r="R53" s="163"/>
      <c r="S53" s="163"/>
      <c r="T53" s="723">
        <f>(T52/T50)*100</f>
        <v>87.775330396475766</v>
      </c>
      <c r="U53" s="723">
        <f>(U52/U50)*100</f>
        <v>90.625</v>
      </c>
      <c r="V53" s="723">
        <f>(V52/V50)*100</f>
        <v>90.876350540216094</v>
      </c>
      <c r="W53" s="162"/>
      <c r="X53" s="1008"/>
    </row>
    <row r="54" spans="1:24" ht="15" hidden="1" thickBot="1">
      <c r="A54" s="1457"/>
      <c r="B54" s="1403"/>
      <c r="C54" s="1454" t="s">
        <v>695</v>
      </c>
      <c r="D54" s="393" t="s">
        <v>416</v>
      </c>
      <c r="E54" s="149"/>
      <c r="F54" s="149"/>
      <c r="G54" s="149"/>
      <c r="H54" s="149"/>
      <c r="I54" s="149"/>
      <c r="J54" s="152">
        <v>654</v>
      </c>
      <c r="K54" s="149"/>
      <c r="L54" s="149"/>
      <c r="M54" s="149"/>
      <c r="N54" s="149"/>
      <c r="O54" s="152">
        <v>796</v>
      </c>
      <c r="P54" s="152"/>
      <c r="Q54" s="152"/>
      <c r="R54" s="152"/>
      <c r="S54" s="152"/>
      <c r="T54" s="152">
        <v>704</v>
      </c>
      <c r="U54" s="152">
        <v>704</v>
      </c>
      <c r="V54" s="152">
        <v>664</v>
      </c>
      <c r="W54" s="149"/>
      <c r="X54" s="998"/>
    </row>
    <row r="55" spans="1:24" ht="15" hidden="1" thickBot="1">
      <c r="A55" s="1457"/>
      <c r="B55" s="1403"/>
      <c r="C55" s="1450"/>
      <c r="D55" s="238" t="s">
        <v>345</v>
      </c>
      <c r="E55" s="134"/>
      <c r="F55" s="134"/>
      <c r="G55" s="134"/>
      <c r="H55" s="134"/>
      <c r="I55" s="134"/>
      <c r="J55" s="153">
        <v>469</v>
      </c>
      <c r="K55" s="134"/>
      <c r="L55" s="134"/>
      <c r="M55" s="134"/>
      <c r="N55" s="134"/>
      <c r="O55" s="153">
        <v>524</v>
      </c>
      <c r="P55" s="156"/>
      <c r="Q55" s="156"/>
      <c r="R55" s="156"/>
      <c r="S55" s="156"/>
      <c r="T55" s="153">
        <v>446</v>
      </c>
      <c r="U55" s="153">
        <v>432</v>
      </c>
      <c r="V55" s="153">
        <v>397</v>
      </c>
      <c r="W55" s="134"/>
      <c r="X55" s="1004"/>
    </row>
    <row r="56" spans="1:24" ht="15" hidden="1" thickBot="1">
      <c r="A56" s="1457"/>
      <c r="B56" s="1403"/>
      <c r="C56" s="1450"/>
      <c r="D56" s="238" t="s">
        <v>346</v>
      </c>
      <c r="E56" s="191"/>
      <c r="F56" s="191"/>
      <c r="G56" s="191"/>
      <c r="H56" s="191"/>
      <c r="I56" s="191"/>
      <c r="J56" s="153">
        <v>185</v>
      </c>
      <c r="K56" s="191"/>
      <c r="L56" s="191"/>
      <c r="M56" s="191"/>
      <c r="N56" s="191"/>
      <c r="O56" s="153">
        <v>272</v>
      </c>
      <c r="P56" s="454"/>
      <c r="Q56" s="454"/>
      <c r="R56" s="454"/>
      <c r="S56" s="454"/>
      <c r="T56" s="153">
        <v>258</v>
      </c>
      <c r="U56" s="153">
        <v>272</v>
      </c>
      <c r="V56" s="153">
        <v>267</v>
      </c>
      <c r="W56" s="191"/>
      <c r="X56" s="1007"/>
    </row>
    <row r="57" spans="1:24" ht="15" hidden="1" thickBot="1">
      <c r="A57" s="1457"/>
      <c r="B57" s="1403"/>
      <c r="C57" s="1451"/>
      <c r="D57" s="394" t="s">
        <v>289</v>
      </c>
      <c r="E57" s="162"/>
      <c r="F57" s="162"/>
      <c r="G57" s="162"/>
      <c r="H57" s="162"/>
      <c r="I57" s="162"/>
      <c r="J57" s="720">
        <f>(J56/J54)*100</f>
        <v>28.287461773700308</v>
      </c>
      <c r="K57" s="162"/>
      <c r="L57" s="162"/>
      <c r="M57" s="162"/>
      <c r="N57" s="162"/>
      <c r="O57" s="720">
        <f>(O56/O54)*100</f>
        <v>34.170854271356781</v>
      </c>
      <c r="P57" s="163"/>
      <c r="Q57" s="163"/>
      <c r="R57" s="163"/>
      <c r="S57" s="163"/>
      <c r="T57" s="720">
        <f>(T56/T54)*100</f>
        <v>36.647727272727273</v>
      </c>
      <c r="U57" s="720">
        <f>(U56/U54)*100</f>
        <v>38.636363636363633</v>
      </c>
      <c r="V57" s="721">
        <f>(V56/V54)*100</f>
        <v>40.210843373493979</v>
      </c>
      <c r="W57" s="162"/>
      <c r="X57" s="1008"/>
    </row>
    <row r="58" spans="1:24" ht="15" hidden="1" thickBot="1">
      <c r="A58" s="1457"/>
      <c r="B58" s="1403"/>
      <c r="C58" s="1454" t="s">
        <v>696</v>
      </c>
      <c r="D58" s="393" t="s">
        <v>416</v>
      </c>
      <c r="E58" s="149"/>
      <c r="F58" s="149"/>
      <c r="G58" s="149"/>
      <c r="H58" s="149"/>
      <c r="I58" s="149"/>
      <c r="J58" s="152">
        <v>318</v>
      </c>
      <c r="K58" s="149"/>
      <c r="L58" s="149"/>
      <c r="M58" s="149"/>
      <c r="N58" s="149"/>
      <c r="O58" s="152">
        <v>480</v>
      </c>
      <c r="P58" s="152"/>
      <c r="Q58" s="152"/>
      <c r="R58" s="152"/>
      <c r="S58" s="152"/>
      <c r="T58" s="152">
        <v>673</v>
      </c>
      <c r="U58" s="152">
        <v>758</v>
      </c>
      <c r="V58" s="152">
        <v>827</v>
      </c>
      <c r="W58" s="149"/>
      <c r="X58" s="998"/>
    </row>
    <row r="59" spans="1:24" ht="15" hidden="1" thickBot="1">
      <c r="A59" s="1457"/>
      <c r="B59" s="1403"/>
      <c r="C59" s="1450"/>
      <c r="D59" s="238" t="s">
        <v>345</v>
      </c>
      <c r="E59" s="134"/>
      <c r="F59" s="134"/>
      <c r="G59" s="134"/>
      <c r="H59" s="134"/>
      <c r="I59" s="134"/>
      <c r="J59" s="153">
        <v>147</v>
      </c>
      <c r="K59" s="134"/>
      <c r="L59" s="134"/>
      <c r="M59" s="134"/>
      <c r="N59" s="134"/>
      <c r="O59" s="153">
        <v>257</v>
      </c>
      <c r="P59" s="156"/>
      <c r="Q59" s="156"/>
      <c r="R59" s="156"/>
      <c r="S59" s="156"/>
      <c r="T59" s="153">
        <v>348</v>
      </c>
      <c r="U59" s="153">
        <v>389</v>
      </c>
      <c r="V59" s="153">
        <v>411</v>
      </c>
      <c r="W59" s="134"/>
      <c r="X59" s="1004"/>
    </row>
    <row r="60" spans="1:24" ht="15" hidden="1" thickBot="1">
      <c r="A60" s="1457"/>
      <c r="B60" s="1403"/>
      <c r="C60" s="1450"/>
      <c r="D60" s="238" t="s">
        <v>346</v>
      </c>
      <c r="E60" s="191"/>
      <c r="F60" s="191"/>
      <c r="G60" s="191"/>
      <c r="H60" s="191"/>
      <c r="I60" s="191"/>
      <c r="J60" s="153">
        <v>171</v>
      </c>
      <c r="K60" s="191"/>
      <c r="L60" s="191"/>
      <c r="M60" s="191"/>
      <c r="N60" s="191"/>
      <c r="O60" s="153">
        <v>223</v>
      </c>
      <c r="P60" s="454"/>
      <c r="Q60" s="454"/>
      <c r="R60" s="454"/>
      <c r="S60" s="454"/>
      <c r="T60" s="153">
        <v>325</v>
      </c>
      <c r="U60" s="153">
        <v>369</v>
      </c>
      <c r="V60" s="153">
        <v>416</v>
      </c>
      <c r="W60" s="191"/>
      <c r="X60" s="1007"/>
    </row>
    <row r="61" spans="1:24" ht="15" hidden="1" thickBot="1">
      <c r="A61" s="1457"/>
      <c r="B61" s="1403"/>
      <c r="C61" s="1451"/>
      <c r="D61" s="394" t="s">
        <v>289</v>
      </c>
      <c r="E61" s="162"/>
      <c r="F61" s="162"/>
      <c r="G61" s="162"/>
      <c r="H61" s="162"/>
      <c r="I61" s="162"/>
      <c r="J61" s="721">
        <f>(J60/J58)*100</f>
        <v>53.773584905660378</v>
      </c>
      <c r="K61" s="162"/>
      <c r="L61" s="162"/>
      <c r="M61" s="162"/>
      <c r="N61" s="162"/>
      <c r="O61" s="721">
        <f>(O60/O58)*100</f>
        <v>46.458333333333336</v>
      </c>
      <c r="P61" s="163"/>
      <c r="Q61" s="163"/>
      <c r="R61" s="163"/>
      <c r="S61" s="163"/>
      <c r="T61" s="721">
        <f>(T60/T58)*100</f>
        <v>48.291233283803862</v>
      </c>
      <c r="U61" s="721">
        <f>(U60/U58)*100</f>
        <v>48.680738786279683</v>
      </c>
      <c r="V61" s="721">
        <f>(V60/V58)*100</f>
        <v>50.302297460701325</v>
      </c>
      <c r="W61" s="162"/>
      <c r="X61" s="1008"/>
    </row>
    <row r="62" spans="1:24" ht="15" hidden="1" thickBot="1">
      <c r="A62" s="1457"/>
      <c r="B62" s="1403"/>
      <c r="C62" s="1454" t="s">
        <v>697</v>
      </c>
      <c r="D62" s="393" t="s">
        <v>416</v>
      </c>
      <c r="E62" s="149"/>
      <c r="F62" s="149"/>
      <c r="G62" s="149"/>
      <c r="H62" s="149"/>
      <c r="I62" s="149"/>
      <c r="J62" s="152">
        <v>535</v>
      </c>
      <c r="K62" s="149"/>
      <c r="L62" s="149"/>
      <c r="M62" s="149"/>
      <c r="N62" s="149"/>
      <c r="O62" s="152">
        <v>545</v>
      </c>
      <c r="P62" s="152"/>
      <c r="Q62" s="152"/>
      <c r="R62" s="152"/>
      <c r="S62" s="152"/>
      <c r="T62" s="152">
        <v>613</v>
      </c>
      <c r="U62" s="152">
        <v>558</v>
      </c>
      <c r="V62" s="152">
        <v>545</v>
      </c>
      <c r="W62" s="149"/>
      <c r="X62" s="998"/>
    </row>
    <row r="63" spans="1:24" ht="15" hidden="1" thickBot="1">
      <c r="A63" s="1457"/>
      <c r="B63" s="1403"/>
      <c r="C63" s="1450"/>
      <c r="D63" s="238" t="s">
        <v>345</v>
      </c>
      <c r="E63" s="134"/>
      <c r="F63" s="134"/>
      <c r="G63" s="134"/>
      <c r="H63" s="134"/>
      <c r="I63" s="134"/>
      <c r="J63" s="153">
        <v>363</v>
      </c>
      <c r="K63" s="134"/>
      <c r="L63" s="134"/>
      <c r="M63" s="134"/>
      <c r="N63" s="134"/>
      <c r="O63" s="153">
        <v>374</v>
      </c>
      <c r="P63" s="156"/>
      <c r="Q63" s="156"/>
      <c r="R63" s="156"/>
      <c r="S63" s="156"/>
      <c r="T63" s="153">
        <v>403</v>
      </c>
      <c r="U63" s="153">
        <v>351</v>
      </c>
      <c r="V63" s="153">
        <v>310</v>
      </c>
      <c r="W63" s="134"/>
      <c r="X63" s="1004"/>
    </row>
    <row r="64" spans="1:24" ht="15" hidden="1" thickBot="1">
      <c r="A64" s="1457"/>
      <c r="B64" s="1403"/>
      <c r="C64" s="1450"/>
      <c r="D64" s="238" t="s">
        <v>346</v>
      </c>
      <c r="E64" s="191"/>
      <c r="F64" s="191"/>
      <c r="G64" s="191"/>
      <c r="H64" s="191"/>
      <c r="I64" s="191"/>
      <c r="J64" s="153">
        <v>172</v>
      </c>
      <c r="K64" s="191"/>
      <c r="L64" s="191"/>
      <c r="M64" s="191"/>
      <c r="N64" s="191"/>
      <c r="O64" s="153">
        <v>171</v>
      </c>
      <c r="P64" s="454"/>
      <c r="Q64" s="454"/>
      <c r="R64" s="454"/>
      <c r="S64" s="454"/>
      <c r="T64" s="153">
        <v>210</v>
      </c>
      <c r="U64" s="153">
        <v>217</v>
      </c>
      <c r="V64" s="153">
        <v>235</v>
      </c>
      <c r="W64" s="191"/>
      <c r="X64" s="1007"/>
    </row>
    <row r="65" spans="1:24" ht="15" hidden="1" thickBot="1">
      <c r="A65" s="1457"/>
      <c r="B65" s="1403"/>
      <c r="C65" s="1451"/>
      <c r="D65" s="394" t="s">
        <v>289</v>
      </c>
      <c r="E65" s="162"/>
      <c r="F65" s="162"/>
      <c r="G65" s="162"/>
      <c r="H65" s="162"/>
      <c r="I65" s="162"/>
      <c r="J65" s="720">
        <f>(J64/J62)*100</f>
        <v>32.149532710280376</v>
      </c>
      <c r="K65" s="162"/>
      <c r="L65" s="162"/>
      <c r="M65" s="162"/>
      <c r="N65" s="162"/>
      <c r="O65" s="720">
        <f>(O64/O62)*100</f>
        <v>31.376146788990827</v>
      </c>
      <c r="P65" s="163"/>
      <c r="Q65" s="163"/>
      <c r="R65" s="163"/>
      <c r="S65" s="163"/>
      <c r="T65" s="720">
        <f>(T64/T62)*100</f>
        <v>34.257748776508976</v>
      </c>
      <c r="U65" s="720">
        <f>(U64/U62)*100</f>
        <v>38.888888888888893</v>
      </c>
      <c r="V65" s="721">
        <f>(V64/V62)*100</f>
        <v>43.119266055045877</v>
      </c>
      <c r="W65" s="162"/>
      <c r="X65" s="1008"/>
    </row>
    <row r="66" spans="1:24" ht="15" hidden="1" thickBot="1">
      <c r="A66" s="1457"/>
      <c r="B66" s="1403"/>
      <c r="C66" s="1454" t="s">
        <v>698</v>
      </c>
      <c r="D66" s="393" t="s">
        <v>416</v>
      </c>
      <c r="E66" s="149"/>
      <c r="F66" s="149"/>
      <c r="G66" s="149"/>
      <c r="H66" s="149"/>
      <c r="I66" s="149"/>
      <c r="J66" s="152">
        <v>340</v>
      </c>
      <c r="K66" s="149"/>
      <c r="L66" s="149"/>
      <c r="M66" s="149"/>
      <c r="N66" s="149"/>
      <c r="O66" s="152">
        <v>590</v>
      </c>
      <c r="P66" s="152"/>
      <c r="Q66" s="152"/>
      <c r="R66" s="152"/>
      <c r="S66" s="152"/>
      <c r="T66" s="152">
        <v>462</v>
      </c>
      <c r="U66" s="152">
        <v>503</v>
      </c>
      <c r="V66" s="152">
        <v>508</v>
      </c>
      <c r="W66" s="149"/>
      <c r="X66" s="998"/>
    </row>
    <row r="67" spans="1:24" ht="15" hidden="1" thickBot="1">
      <c r="A67" s="1457"/>
      <c r="B67" s="1403"/>
      <c r="C67" s="1450"/>
      <c r="D67" s="238" t="s">
        <v>345</v>
      </c>
      <c r="E67" s="134"/>
      <c r="F67" s="134"/>
      <c r="G67" s="134"/>
      <c r="H67" s="134"/>
      <c r="I67" s="134"/>
      <c r="J67" s="153">
        <v>335</v>
      </c>
      <c r="K67" s="134"/>
      <c r="L67" s="134"/>
      <c r="M67" s="134"/>
      <c r="N67" s="134"/>
      <c r="O67" s="153">
        <v>578</v>
      </c>
      <c r="P67" s="156"/>
      <c r="Q67" s="156"/>
      <c r="R67" s="156"/>
      <c r="S67" s="156"/>
      <c r="T67" s="153">
        <v>454</v>
      </c>
      <c r="U67" s="153">
        <v>495</v>
      </c>
      <c r="V67" s="153">
        <v>500</v>
      </c>
      <c r="W67" s="134"/>
      <c r="X67" s="1004"/>
    </row>
    <row r="68" spans="1:24" ht="15" hidden="1" thickBot="1">
      <c r="A68" s="1457"/>
      <c r="B68" s="1403"/>
      <c r="C68" s="1450"/>
      <c r="D68" s="238" t="s">
        <v>346</v>
      </c>
      <c r="E68" s="191"/>
      <c r="F68" s="191"/>
      <c r="G68" s="191"/>
      <c r="H68" s="191"/>
      <c r="I68" s="191"/>
      <c r="J68" s="153">
        <v>5</v>
      </c>
      <c r="K68" s="191"/>
      <c r="L68" s="191"/>
      <c r="M68" s="191"/>
      <c r="N68" s="191"/>
      <c r="O68" s="153">
        <v>12</v>
      </c>
      <c r="P68" s="454"/>
      <c r="Q68" s="454"/>
      <c r="R68" s="454"/>
      <c r="S68" s="454"/>
      <c r="T68" s="153">
        <v>8</v>
      </c>
      <c r="U68" s="153">
        <v>8</v>
      </c>
      <c r="V68" s="153">
        <v>8</v>
      </c>
      <c r="W68" s="191"/>
      <c r="X68" s="1007"/>
    </row>
    <row r="69" spans="1:24" ht="15" hidden="1" thickBot="1">
      <c r="A69" s="1457"/>
      <c r="B69" s="1403"/>
      <c r="C69" s="1451"/>
      <c r="D69" s="394" t="s">
        <v>289</v>
      </c>
      <c r="E69" s="162"/>
      <c r="F69" s="162"/>
      <c r="G69" s="162"/>
      <c r="H69" s="162"/>
      <c r="I69" s="162"/>
      <c r="J69" s="720">
        <f>(J68/J66)*100</f>
        <v>1.4705882352941175</v>
      </c>
      <c r="K69" s="162"/>
      <c r="L69" s="162"/>
      <c r="M69" s="162"/>
      <c r="N69" s="162"/>
      <c r="O69" s="720">
        <f>(O68/O66)*100</f>
        <v>2.0338983050847457</v>
      </c>
      <c r="P69" s="163"/>
      <c r="Q69" s="163"/>
      <c r="R69" s="163"/>
      <c r="S69" s="163"/>
      <c r="T69" s="720">
        <f>(T68/T66)*100</f>
        <v>1.7316017316017316</v>
      </c>
      <c r="U69" s="720">
        <f>(U68/U66)*100</f>
        <v>1.5904572564612325</v>
      </c>
      <c r="V69" s="720">
        <f>(V68/V66)*100</f>
        <v>1.5748031496062991</v>
      </c>
      <c r="W69" s="162"/>
      <c r="X69" s="1008"/>
    </row>
    <row r="70" spans="1:24" ht="15" hidden="1" thickBot="1">
      <c r="A70" s="1457"/>
      <c r="B70" s="1403"/>
      <c r="C70" s="1454" t="s">
        <v>699</v>
      </c>
      <c r="D70" s="393" t="s">
        <v>416</v>
      </c>
      <c r="E70" s="149"/>
      <c r="F70" s="149"/>
      <c r="G70" s="149"/>
      <c r="H70" s="149"/>
      <c r="I70" s="149"/>
      <c r="J70" s="152">
        <v>421</v>
      </c>
      <c r="K70" s="149"/>
      <c r="L70" s="149"/>
      <c r="M70" s="149"/>
      <c r="N70" s="149"/>
      <c r="O70" s="152">
        <v>462</v>
      </c>
      <c r="P70" s="152"/>
      <c r="Q70" s="152"/>
      <c r="R70" s="152"/>
      <c r="S70" s="152"/>
      <c r="T70" s="152">
        <v>379</v>
      </c>
      <c r="U70" s="152">
        <v>358</v>
      </c>
      <c r="V70" s="152">
        <v>367</v>
      </c>
      <c r="W70" s="149"/>
      <c r="X70" s="998"/>
    </row>
    <row r="71" spans="1:24" ht="15" hidden="1" thickBot="1">
      <c r="A71" s="1457"/>
      <c r="B71" s="1403"/>
      <c r="C71" s="1450"/>
      <c r="D71" s="238" t="s">
        <v>345</v>
      </c>
      <c r="E71" s="134"/>
      <c r="F71" s="134"/>
      <c r="G71" s="134"/>
      <c r="H71" s="134"/>
      <c r="I71" s="134"/>
      <c r="J71" s="153">
        <v>376</v>
      </c>
      <c r="K71" s="134"/>
      <c r="L71" s="134"/>
      <c r="M71" s="134"/>
      <c r="N71" s="134"/>
      <c r="O71" s="153">
        <v>422</v>
      </c>
      <c r="P71" s="156"/>
      <c r="Q71" s="156"/>
      <c r="R71" s="156"/>
      <c r="S71" s="156"/>
      <c r="T71" s="153">
        <v>343</v>
      </c>
      <c r="U71" s="153">
        <v>324</v>
      </c>
      <c r="V71" s="153">
        <v>335</v>
      </c>
      <c r="W71" s="134"/>
      <c r="X71" s="1004"/>
    </row>
    <row r="72" spans="1:24" ht="15" hidden="1" thickBot="1">
      <c r="A72" s="1457"/>
      <c r="B72" s="1403"/>
      <c r="C72" s="1450"/>
      <c r="D72" s="238" t="s">
        <v>346</v>
      </c>
      <c r="E72" s="191"/>
      <c r="F72" s="191"/>
      <c r="G72" s="191"/>
      <c r="H72" s="191"/>
      <c r="I72" s="191"/>
      <c r="J72" s="153">
        <v>45</v>
      </c>
      <c r="K72" s="191"/>
      <c r="L72" s="191"/>
      <c r="M72" s="191"/>
      <c r="N72" s="191"/>
      <c r="O72" s="153">
        <v>40</v>
      </c>
      <c r="P72" s="454"/>
      <c r="Q72" s="454"/>
      <c r="R72" s="454"/>
      <c r="S72" s="454"/>
      <c r="T72" s="153">
        <v>36</v>
      </c>
      <c r="U72" s="153">
        <v>34</v>
      </c>
      <c r="V72" s="153">
        <v>32</v>
      </c>
      <c r="W72" s="191"/>
      <c r="X72" s="1007"/>
    </row>
    <row r="73" spans="1:24" ht="15" hidden="1" thickBot="1">
      <c r="A73" s="1457"/>
      <c r="B73" s="1403"/>
      <c r="C73" s="1451"/>
      <c r="D73" s="394" t="s">
        <v>289</v>
      </c>
      <c r="E73" s="162"/>
      <c r="F73" s="162"/>
      <c r="G73" s="162"/>
      <c r="H73" s="162"/>
      <c r="I73" s="162"/>
      <c r="J73" s="720">
        <f>(J72/J70)*100</f>
        <v>10.688836104513063</v>
      </c>
      <c r="K73" s="162"/>
      <c r="L73" s="162"/>
      <c r="M73" s="162"/>
      <c r="N73" s="162"/>
      <c r="O73" s="720">
        <f>(O72/O70)*100</f>
        <v>8.6580086580086579</v>
      </c>
      <c r="P73" s="163"/>
      <c r="Q73" s="163"/>
      <c r="R73" s="163"/>
      <c r="S73" s="163"/>
      <c r="T73" s="720">
        <f>(T72/T70)*100</f>
        <v>9.4986807387862786</v>
      </c>
      <c r="U73" s="720">
        <f>(U72/U70)*100</f>
        <v>9.4972067039106136</v>
      </c>
      <c r="V73" s="720">
        <f>(V72/V70)*100</f>
        <v>8.7193460490463206</v>
      </c>
      <c r="W73" s="162"/>
      <c r="X73" s="1008"/>
    </row>
    <row r="74" spans="1:24" ht="15" hidden="1" thickBot="1">
      <c r="A74" s="1457"/>
      <c r="B74" s="1403"/>
      <c r="C74" s="1454" t="s">
        <v>700</v>
      </c>
      <c r="D74" s="393" t="s">
        <v>416</v>
      </c>
      <c r="E74" s="149"/>
      <c r="F74" s="149"/>
      <c r="G74" s="149"/>
      <c r="H74" s="149"/>
      <c r="I74" s="149"/>
      <c r="J74" s="152">
        <v>160</v>
      </c>
      <c r="K74" s="149"/>
      <c r="L74" s="149"/>
      <c r="M74" s="149"/>
      <c r="N74" s="149"/>
      <c r="O74" s="152">
        <v>162</v>
      </c>
      <c r="P74" s="152"/>
      <c r="Q74" s="152"/>
      <c r="R74" s="152"/>
      <c r="S74" s="152"/>
      <c r="T74" s="152">
        <v>208</v>
      </c>
      <c r="U74" s="152">
        <v>194</v>
      </c>
      <c r="V74" s="152">
        <v>199</v>
      </c>
      <c r="W74" s="149"/>
      <c r="X74" s="998"/>
    </row>
    <row r="75" spans="1:24" ht="15" hidden="1" thickBot="1">
      <c r="A75" s="1457"/>
      <c r="B75" s="1403"/>
      <c r="C75" s="1450"/>
      <c r="D75" s="238" t="s">
        <v>345</v>
      </c>
      <c r="E75" s="134"/>
      <c r="F75" s="134"/>
      <c r="G75" s="134"/>
      <c r="H75" s="134"/>
      <c r="I75" s="134"/>
      <c r="J75" s="153">
        <v>61</v>
      </c>
      <c r="K75" s="134"/>
      <c r="L75" s="134"/>
      <c r="M75" s="134"/>
      <c r="N75" s="134"/>
      <c r="O75" s="153">
        <v>72</v>
      </c>
      <c r="P75" s="156"/>
      <c r="Q75" s="156"/>
      <c r="R75" s="156"/>
      <c r="S75" s="156"/>
      <c r="T75" s="153">
        <v>93</v>
      </c>
      <c r="U75" s="153">
        <v>35</v>
      </c>
      <c r="V75" s="153">
        <v>79</v>
      </c>
      <c r="W75" s="134"/>
      <c r="X75" s="1004"/>
    </row>
    <row r="76" spans="1:24" ht="15" hidden="1" thickBot="1">
      <c r="A76" s="1457"/>
      <c r="B76" s="1403"/>
      <c r="C76" s="1450"/>
      <c r="D76" s="238" t="s">
        <v>346</v>
      </c>
      <c r="E76" s="191"/>
      <c r="F76" s="191"/>
      <c r="G76" s="191"/>
      <c r="H76" s="191"/>
      <c r="I76" s="191"/>
      <c r="J76" s="153">
        <v>99</v>
      </c>
      <c r="K76" s="191"/>
      <c r="L76" s="191"/>
      <c r="M76" s="191"/>
      <c r="N76" s="191"/>
      <c r="O76" s="153">
        <v>90</v>
      </c>
      <c r="P76" s="454"/>
      <c r="Q76" s="454"/>
      <c r="R76" s="454"/>
      <c r="S76" s="454"/>
      <c r="T76" s="153">
        <v>115</v>
      </c>
      <c r="U76" s="153">
        <v>114</v>
      </c>
      <c r="V76" s="153">
        <v>120</v>
      </c>
      <c r="W76" s="191"/>
      <c r="X76" s="1007"/>
    </row>
    <row r="77" spans="1:24" ht="15" hidden="1" thickBot="1">
      <c r="A77" s="1457"/>
      <c r="B77" s="1403"/>
      <c r="C77" s="1451"/>
      <c r="D77" s="394" t="s">
        <v>289</v>
      </c>
      <c r="E77" s="162"/>
      <c r="F77" s="162"/>
      <c r="G77" s="162"/>
      <c r="H77" s="162"/>
      <c r="I77" s="162"/>
      <c r="J77" s="723">
        <f>(J76/J74)*100</f>
        <v>61.875</v>
      </c>
      <c r="K77" s="162"/>
      <c r="L77" s="162"/>
      <c r="M77" s="162"/>
      <c r="N77" s="162"/>
      <c r="O77" s="721">
        <f>(O76/O74)*100</f>
        <v>55.555555555555557</v>
      </c>
      <c r="P77" s="163"/>
      <c r="Q77" s="163"/>
      <c r="R77" s="163"/>
      <c r="S77" s="163"/>
      <c r="T77" s="721">
        <f>(T76/T74)*100</f>
        <v>55.28846153846154</v>
      </c>
      <c r="U77" s="721">
        <f>(U76/U74)*100</f>
        <v>58.762886597938149</v>
      </c>
      <c r="V77" s="723">
        <f>(V76/V74)*100</f>
        <v>60.301507537688437</v>
      </c>
      <c r="W77" s="162"/>
      <c r="X77" s="1008"/>
    </row>
    <row r="78" spans="1:24" ht="15" hidden="1" thickBot="1">
      <c r="A78" s="1457"/>
      <c r="B78" s="1403"/>
      <c r="C78" s="1454" t="s">
        <v>701</v>
      </c>
      <c r="D78" s="393" t="s">
        <v>416</v>
      </c>
      <c r="E78" s="149"/>
      <c r="F78" s="149"/>
      <c r="G78" s="149"/>
      <c r="H78" s="149"/>
      <c r="I78" s="149"/>
      <c r="J78" s="152">
        <v>52</v>
      </c>
      <c r="K78" s="149"/>
      <c r="L78" s="149"/>
      <c r="M78" s="149"/>
      <c r="N78" s="149"/>
      <c r="O78" s="152">
        <v>80</v>
      </c>
      <c r="P78" s="152"/>
      <c r="Q78" s="152"/>
      <c r="R78" s="152"/>
      <c r="S78" s="152"/>
      <c r="T78" s="152">
        <v>140</v>
      </c>
      <c r="U78" s="152">
        <v>149</v>
      </c>
      <c r="V78" s="152">
        <v>171</v>
      </c>
      <c r="W78" s="149"/>
      <c r="X78" s="998"/>
    </row>
    <row r="79" spans="1:24" ht="15" hidden="1" thickBot="1">
      <c r="A79" s="1457"/>
      <c r="B79" s="1403"/>
      <c r="C79" s="1450"/>
      <c r="D79" s="238" t="s">
        <v>345</v>
      </c>
      <c r="E79" s="134"/>
      <c r="F79" s="134"/>
      <c r="G79" s="134"/>
      <c r="H79" s="134"/>
      <c r="I79" s="134"/>
      <c r="J79" s="153">
        <v>8</v>
      </c>
      <c r="K79" s="134"/>
      <c r="L79" s="134"/>
      <c r="M79" s="134"/>
      <c r="N79" s="134"/>
      <c r="O79" s="153">
        <v>16</v>
      </c>
      <c r="P79" s="156"/>
      <c r="Q79" s="156"/>
      <c r="R79" s="156"/>
      <c r="S79" s="156"/>
      <c r="T79" s="153">
        <v>28</v>
      </c>
      <c r="U79" s="153">
        <v>35</v>
      </c>
      <c r="V79" s="153">
        <v>45</v>
      </c>
      <c r="W79" s="134"/>
      <c r="X79" s="1004"/>
    </row>
    <row r="80" spans="1:24" ht="15" hidden="1" thickBot="1">
      <c r="A80" s="1457"/>
      <c r="B80" s="1403"/>
      <c r="C80" s="1450"/>
      <c r="D80" s="238" t="s">
        <v>346</v>
      </c>
      <c r="E80" s="191"/>
      <c r="F80" s="191"/>
      <c r="G80" s="191"/>
      <c r="H80" s="191"/>
      <c r="I80" s="191"/>
      <c r="J80" s="153">
        <v>44</v>
      </c>
      <c r="K80" s="191"/>
      <c r="L80" s="191"/>
      <c r="M80" s="191"/>
      <c r="N80" s="191"/>
      <c r="O80" s="153">
        <v>64</v>
      </c>
      <c r="P80" s="454"/>
      <c r="Q80" s="454"/>
      <c r="R80" s="454"/>
      <c r="S80" s="454"/>
      <c r="T80" s="153">
        <v>112</v>
      </c>
      <c r="U80" s="153">
        <v>114</v>
      </c>
      <c r="V80" s="153">
        <v>126</v>
      </c>
      <c r="W80" s="191"/>
      <c r="X80" s="1007"/>
    </row>
    <row r="81" spans="1:24" ht="15" hidden="1" thickBot="1">
      <c r="A81" s="1457"/>
      <c r="B81" s="1403"/>
      <c r="C81" s="1451"/>
      <c r="D81" s="394" t="s">
        <v>289</v>
      </c>
      <c r="E81" s="162"/>
      <c r="F81" s="162"/>
      <c r="G81" s="162"/>
      <c r="H81" s="162"/>
      <c r="I81" s="162"/>
      <c r="J81" s="723">
        <f>(J80/J78)*100</f>
        <v>84.615384615384613</v>
      </c>
      <c r="K81" s="162"/>
      <c r="L81" s="162"/>
      <c r="M81" s="162"/>
      <c r="N81" s="162"/>
      <c r="O81" s="723">
        <f>(O80/O78)*100</f>
        <v>80</v>
      </c>
      <c r="P81" s="163"/>
      <c r="Q81" s="163"/>
      <c r="R81" s="163"/>
      <c r="S81" s="163"/>
      <c r="T81" s="723">
        <f>(T80/T78)*100</f>
        <v>80</v>
      </c>
      <c r="U81" s="723">
        <f>(U80/U78)*100</f>
        <v>76.510067114093957</v>
      </c>
      <c r="V81" s="723">
        <f>(V80/V78)*100</f>
        <v>73.68421052631578</v>
      </c>
      <c r="W81" s="162"/>
      <c r="X81" s="1008"/>
    </row>
    <row r="82" spans="1:24" ht="15" hidden="1" thickBot="1">
      <c r="A82" s="1457"/>
      <c r="B82" s="1403"/>
      <c r="C82" s="1454" t="s">
        <v>702</v>
      </c>
      <c r="D82" s="393" t="s">
        <v>416</v>
      </c>
      <c r="E82" s="149"/>
      <c r="F82" s="149"/>
      <c r="G82" s="149"/>
      <c r="H82" s="149"/>
      <c r="I82" s="149"/>
      <c r="J82" s="152">
        <v>55</v>
      </c>
      <c r="K82" s="149"/>
      <c r="L82" s="149"/>
      <c r="M82" s="149"/>
      <c r="N82" s="149"/>
      <c r="O82" s="152">
        <v>59</v>
      </c>
      <c r="P82" s="152"/>
      <c r="Q82" s="152"/>
      <c r="R82" s="152"/>
      <c r="S82" s="152"/>
      <c r="T82" s="152">
        <v>113</v>
      </c>
      <c r="U82" s="152">
        <v>112</v>
      </c>
      <c r="V82" s="152">
        <v>156</v>
      </c>
      <c r="W82" s="149"/>
      <c r="X82" s="998"/>
    </row>
    <row r="83" spans="1:24" ht="15" hidden="1" thickBot="1">
      <c r="A83" s="1457"/>
      <c r="B83" s="1403"/>
      <c r="C83" s="1450"/>
      <c r="D83" s="238" t="s">
        <v>345</v>
      </c>
      <c r="E83" s="134"/>
      <c r="F83" s="134"/>
      <c r="G83" s="134"/>
      <c r="H83" s="134"/>
      <c r="I83" s="134"/>
      <c r="J83" s="153">
        <v>46</v>
      </c>
      <c r="K83" s="134"/>
      <c r="L83" s="134"/>
      <c r="M83" s="134"/>
      <c r="N83" s="134"/>
      <c r="O83" s="153">
        <v>48</v>
      </c>
      <c r="P83" s="156"/>
      <c r="Q83" s="156"/>
      <c r="R83" s="156"/>
      <c r="S83" s="156"/>
      <c r="T83" s="153">
        <v>87</v>
      </c>
      <c r="U83" s="153">
        <v>74</v>
      </c>
      <c r="V83" s="153">
        <v>107</v>
      </c>
      <c r="W83" s="134"/>
      <c r="X83" s="1004"/>
    </row>
    <row r="84" spans="1:24" ht="15" hidden="1" thickBot="1">
      <c r="A84" s="1457"/>
      <c r="B84" s="1403"/>
      <c r="C84" s="1450"/>
      <c r="D84" s="238" t="s">
        <v>346</v>
      </c>
      <c r="E84" s="191"/>
      <c r="F84" s="191"/>
      <c r="G84" s="191"/>
      <c r="H84" s="191"/>
      <c r="I84" s="191"/>
      <c r="J84" s="153">
        <v>9</v>
      </c>
      <c r="K84" s="191"/>
      <c r="L84" s="191"/>
      <c r="M84" s="191"/>
      <c r="N84" s="191"/>
      <c r="O84" s="153">
        <v>11</v>
      </c>
      <c r="P84" s="454"/>
      <c r="Q84" s="454"/>
      <c r="R84" s="454"/>
      <c r="S84" s="454"/>
      <c r="T84" s="153">
        <v>26</v>
      </c>
      <c r="U84" s="153">
        <v>38</v>
      </c>
      <c r="V84" s="153">
        <v>49</v>
      </c>
      <c r="W84" s="191"/>
      <c r="X84" s="1007"/>
    </row>
    <row r="85" spans="1:24" ht="15" hidden="1" thickBot="1">
      <c r="A85" s="1457"/>
      <c r="B85" s="1403"/>
      <c r="C85" s="1451"/>
      <c r="D85" s="394" t="s">
        <v>289</v>
      </c>
      <c r="E85" s="162"/>
      <c r="F85" s="162"/>
      <c r="G85" s="162"/>
      <c r="H85" s="162"/>
      <c r="I85" s="162"/>
      <c r="J85" s="720">
        <f>(J84/J82)*100</f>
        <v>16.363636363636363</v>
      </c>
      <c r="K85" s="162"/>
      <c r="L85" s="162"/>
      <c r="M85" s="162"/>
      <c r="N85" s="162"/>
      <c r="O85" s="720">
        <f>(O84/O82)*100</f>
        <v>18.64406779661017</v>
      </c>
      <c r="P85" s="163"/>
      <c r="Q85" s="163"/>
      <c r="R85" s="163"/>
      <c r="S85" s="163"/>
      <c r="T85" s="720">
        <f>(T84/T82)*100</f>
        <v>23.008849557522122</v>
      </c>
      <c r="U85" s="720">
        <f>(U84/U82)*100</f>
        <v>33.928571428571431</v>
      </c>
      <c r="V85" s="720">
        <f>(V84/V82)*100</f>
        <v>31.410256410256409</v>
      </c>
      <c r="W85" s="162"/>
      <c r="X85" s="1008"/>
    </row>
    <row r="86" spans="1:24" ht="15" hidden="1" thickBot="1">
      <c r="A86" s="1457"/>
      <c r="B86" s="1403"/>
      <c r="C86" s="1454" t="s">
        <v>703</v>
      </c>
      <c r="D86" s="393" t="s">
        <v>416</v>
      </c>
      <c r="E86" s="149"/>
      <c r="F86" s="149"/>
      <c r="G86" s="149"/>
      <c r="H86" s="149"/>
      <c r="I86" s="149"/>
      <c r="J86" s="152">
        <v>37</v>
      </c>
      <c r="K86" s="149"/>
      <c r="L86" s="149"/>
      <c r="M86" s="149"/>
      <c r="N86" s="149"/>
      <c r="O86" s="152">
        <v>77</v>
      </c>
      <c r="P86" s="152"/>
      <c r="Q86" s="152"/>
      <c r="R86" s="152"/>
      <c r="S86" s="152"/>
      <c r="T86" s="152">
        <v>95</v>
      </c>
      <c r="U86" s="152">
        <v>95</v>
      </c>
      <c r="V86" s="152">
        <v>111</v>
      </c>
      <c r="W86" s="149"/>
      <c r="X86" s="998"/>
    </row>
    <row r="87" spans="1:24" ht="15" hidden="1" thickBot="1">
      <c r="A87" s="1457"/>
      <c r="B87" s="1403"/>
      <c r="C87" s="1450"/>
      <c r="D87" s="238" t="s">
        <v>345</v>
      </c>
      <c r="E87" s="151"/>
      <c r="F87" s="151"/>
      <c r="G87" s="151"/>
      <c r="H87" s="151"/>
      <c r="I87" s="151"/>
      <c r="J87" s="153">
        <v>28</v>
      </c>
      <c r="K87" s="151"/>
      <c r="L87" s="151"/>
      <c r="M87" s="151"/>
      <c r="N87" s="151"/>
      <c r="O87" s="153">
        <v>42</v>
      </c>
      <c r="P87" s="156"/>
      <c r="Q87" s="156"/>
      <c r="R87" s="156"/>
      <c r="S87" s="156"/>
      <c r="T87" s="153">
        <v>48</v>
      </c>
      <c r="U87" s="153">
        <v>46</v>
      </c>
      <c r="V87" s="153">
        <v>44</v>
      </c>
      <c r="W87" s="151"/>
      <c r="X87" s="1004"/>
    </row>
    <row r="88" spans="1:24" ht="15" hidden="1" thickBot="1">
      <c r="A88" s="1457"/>
      <c r="B88" s="1403"/>
      <c r="C88" s="1450"/>
      <c r="D88" s="238" t="s">
        <v>346</v>
      </c>
      <c r="E88" s="134"/>
      <c r="F88" s="134"/>
      <c r="G88" s="134"/>
      <c r="H88" s="134"/>
      <c r="I88" s="134"/>
      <c r="J88" s="153">
        <v>9</v>
      </c>
      <c r="K88" s="134"/>
      <c r="L88" s="134"/>
      <c r="M88" s="134"/>
      <c r="N88" s="134"/>
      <c r="O88" s="153">
        <v>35</v>
      </c>
      <c r="P88" s="454"/>
      <c r="Q88" s="454"/>
      <c r="R88" s="454"/>
      <c r="S88" s="454"/>
      <c r="T88" s="153">
        <v>47</v>
      </c>
      <c r="U88" s="153">
        <v>49</v>
      </c>
      <c r="V88" s="153">
        <v>67</v>
      </c>
      <c r="W88" s="134"/>
      <c r="X88" s="1007"/>
    </row>
    <row r="89" spans="1:24" ht="15" hidden="1" thickBot="1">
      <c r="A89" s="1457"/>
      <c r="B89" s="1403"/>
      <c r="C89" s="1451"/>
      <c r="D89" s="394" t="s">
        <v>289</v>
      </c>
      <c r="E89" s="162"/>
      <c r="F89" s="162"/>
      <c r="G89" s="162"/>
      <c r="H89" s="162"/>
      <c r="I89" s="162"/>
      <c r="J89" s="720">
        <f>(J88/J86)*100</f>
        <v>24.324324324324326</v>
      </c>
      <c r="K89" s="162"/>
      <c r="L89" s="162"/>
      <c r="M89" s="162"/>
      <c r="N89" s="162"/>
      <c r="O89" s="721">
        <f>(O88/O86)*100</f>
        <v>45.454545454545453</v>
      </c>
      <c r="P89" s="163"/>
      <c r="Q89" s="163"/>
      <c r="R89" s="163"/>
      <c r="S89" s="163"/>
      <c r="T89" s="721">
        <f>(T88/T86)*100</f>
        <v>49.473684210526315</v>
      </c>
      <c r="U89" s="721">
        <f>(U88/U86)*100</f>
        <v>51.578947368421055</v>
      </c>
      <c r="V89" s="723">
        <f>(V88/V86)*100</f>
        <v>60.360360360360367</v>
      </c>
      <c r="W89" s="162"/>
      <c r="X89" s="1008"/>
    </row>
    <row r="90" spans="1:24" ht="15" hidden="1" thickBot="1">
      <c r="A90" s="1457"/>
      <c r="B90" s="1403"/>
      <c r="C90" s="1454" t="s">
        <v>704</v>
      </c>
      <c r="D90" s="393" t="s">
        <v>416</v>
      </c>
      <c r="E90" s="149"/>
      <c r="F90" s="149"/>
      <c r="G90" s="149"/>
      <c r="H90" s="149"/>
      <c r="I90" s="149"/>
      <c r="J90" s="152">
        <v>70</v>
      </c>
      <c r="K90" s="149"/>
      <c r="L90" s="149"/>
      <c r="M90" s="149"/>
      <c r="N90" s="149"/>
      <c r="O90" s="152">
        <v>68</v>
      </c>
      <c r="P90" s="152"/>
      <c r="Q90" s="152"/>
      <c r="R90" s="152"/>
      <c r="S90" s="152"/>
      <c r="T90" s="152">
        <v>69</v>
      </c>
      <c r="U90" s="152">
        <v>73</v>
      </c>
      <c r="V90" s="152">
        <v>62</v>
      </c>
      <c r="W90" s="149"/>
      <c r="X90" s="998"/>
    </row>
    <row r="91" spans="1:24" ht="15" hidden="1" thickBot="1">
      <c r="A91" s="1457"/>
      <c r="B91" s="1403"/>
      <c r="C91" s="1450"/>
      <c r="D91" s="238" t="s">
        <v>345</v>
      </c>
      <c r="E91" s="151"/>
      <c r="F91" s="151"/>
      <c r="G91" s="151"/>
      <c r="H91" s="151"/>
      <c r="I91" s="151"/>
      <c r="J91" s="153">
        <v>68</v>
      </c>
      <c r="K91" s="151"/>
      <c r="L91" s="151"/>
      <c r="M91" s="151"/>
      <c r="N91" s="151"/>
      <c r="O91" s="153">
        <v>61</v>
      </c>
      <c r="P91" s="156"/>
      <c r="Q91" s="156"/>
      <c r="R91" s="156"/>
      <c r="S91" s="156"/>
      <c r="T91" s="153">
        <v>52</v>
      </c>
      <c r="U91" s="153">
        <v>57</v>
      </c>
      <c r="V91" s="153">
        <v>51</v>
      </c>
      <c r="W91" s="151"/>
      <c r="X91" s="1004"/>
    </row>
    <row r="92" spans="1:24" ht="15" hidden="1" thickBot="1">
      <c r="A92" s="1457"/>
      <c r="B92" s="1403"/>
      <c r="C92" s="1450"/>
      <c r="D92" s="238" t="s">
        <v>346</v>
      </c>
      <c r="E92" s="134"/>
      <c r="F92" s="134"/>
      <c r="G92" s="134"/>
      <c r="H92" s="134"/>
      <c r="I92" s="134"/>
      <c r="J92" s="153">
        <v>2</v>
      </c>
      <c r="K92" s="134"/>
      <c r="L92" s="134"/>
      <c r="M92" s="134"/>
      <c r="N92" s="134"/>
      <c r="O92" s="153">
        <v>7</v>
      </c>
      <c r="P92" s="454"/>
      <c r="Q92" s="454"/>
      <c r="R92" s="454"/>
      <c r="S92" s="454"/>
      <c r="T92" s="153">
        <v>17</v>
      </c>
      <c r="U92" s="153">
        <v>16</v>
      </c>
      <c r="V92" s="153">
        <v>11</v>
      </c>
      <c r="W92" s="134"/>
      <c r="X92" s="1007"/>
    </row>
    <row r="93" spans="1:24" ht="15" hidden="1" thickBot="1">
      <c r="A93" s="1457"/>
      <c r="B93" s="1403"/>
      <c r="C93" s="1450"/>
      <c r="D93" s="455" t="s">
        <v>289</v>
      </c>
      <c r="E93" s="191"/>
      <c r="F93" s="191"/>
      <c r="G93" s="191"/>
      <c r="H93" s="191"/>
      <c r="I93" s="191"/>
      <c r="J93" s="720">
        <f>(J92/J90)*100</f>
        <v>2.8571428571428572</v>
      </c>
      <c r="K93" s="191"/>
      <c r="L93" s="191"/>
      <c r="M93" s="191"/>
      <c r="N93" s="191"/>
      <c r="O93" s="720">
        <f>(O92/O90)*100</f>
        <v>10.294117647058822</v>
      </c>
      <c r="P93" s="163"/>
      <c r="Q93" s="163"/>
      <c r="R93" s="163"/>
      <c r="S93" s="163"/>
      <c r="T93" s="720">
        <f>(T92/T90)*100</f>
        <v>24.637681159420293</v>
      </c>
      <c r="U93" s="720">
        <f>(U92/U90)*100</f>
        <v>21.917808219178081</v>
      </c>
      <c r="V93" s="720">
        <f>(V92/V90)*100</f>
        <v>17.741935483870968</v>
      </c>
      <c r="W93" s="191"/>
      <c r="X93" s="1008"/>
    </row>
    <row r="94" spans="1:24" ht="15" hidden="1" thickBot="1">
      <c r="A94" s="1457"/>
      <c r="B94" s="1403"/>
      <c r="C94" s="1473" t="s">
        <v>705</v>
      </c>
      <c r="D94" s="158" t="s">
        <v>416</v>
      </c>
      <c r="E94" s="149"/>
      <c r="F94" s="149"/>
      <c r="G94" s="149"/>
      <c r="H94" s="149"/>
      <c r="I94" s="149"/>
      <c r="J94" s="159"/>
      <c r="K94" s="149"/>
      <c r="L94" s="149"/>
      <c r="M94" s="149"/>
      <c r="N94" s="149"/>
      <c r="O94" s="159"/>
      <c r="P94" s="159"/>
      <c r="Q94" s="159"/>
      <c r="R94" s="159"/>
      <c r="S94" s="159"/>
      <c r="T94" s="152">
        <v>48</v>
      </c>
      <c r="U94" s="152">
        <v>40</v>
      </c>
      <c r="V94" s="152">
        <v>40</v>
      </c>
      <c r="W94" s="149"/>
      <c r="X94" s="1009"/>
    </row>
    <row r="95" spans="1:24" ht="15" hidden="1" thickBot="1">
      <c r="A95" s="1457"/>
      <c r="B95" s="1403"/>
      <c r="C95" s="1474"/>
      <c r="D95" s="189" t="s">
        <v>345</v>
      </c>
      <c r="E95" s="151"/>
      <c r="F95" s="151"/>
      <c r="G95" s="151"/>
      <c r="H95" s="151"/>
      <c r="I95" s="151"/>
      <c r="J95" s="153"/>
      <c r="K95" s="151"/>
      <c r="L95" s="151"/>
      <c r="M95" s="151"/>
      <c r="N95" s="151"/>
      <c r="O95" s="153"/>
      <c r="P95" s="156"/>
      <c r="Q95" s="156"/>
      <c r="R95" s="156"/>
      <c r="S95" s="156"/>
      <c r="T95" s="153">
        <v>41</v>
      </c>
      <c r="U95" s="153">
        <v>37</v>
      </c>
      <c r="V95" s="153">
        <v>38</v>
      </c>
      <c r="W95" s="151"/>
      <c r="X95" s="1004"/>
    </row>
    <row r="96" spans="1:24" ht="15" hidden="1" thickBot="1">
      <c r="A96" s="1457"/>
      <c r="B96" s="1403"/>
      <c r="C96" s="1474"/>
      <c r="D96" s="189" t="s">
        <v>346</v>
      </c>
      <c r="E96" s="134"/>
      <c r="F96" s="134"/>
      <c r="G96" s="134"/>
      <c r="H96" s="134"/>
      <c r="I96" s="134"/>
      <c r="J96" s="153"/>
      <c r="K96" s="134"/>
      <c r="L96" s="134"/>
      <c r="M96" s="134"/>
      <c r="N96" s="134"/>
      <c r="O96" s="153"/>
      <c r="P96" s="454"/>
      <c r="Q96" s="454"/>
      <c r="R96" s="454"/>
      <c r="S96" s="454"/>
      <c r="T96" s="153">
        <v>7</v>
      </c>
      <c r="U96" s="153">
        <v>3</v>
      </c>
      <c r="V96" s="153">
        <v>2</v>
      </c>
      <c r="W96" s="134"/>
      <c r="X96" s="1007"/>
    </row>
    <row r="97" spans="1:28" ht="15" hidden="1" thickBot="1">
      <c r="A97" s="1457"/>
      <c r="B97" s="1403"/>
      <c r="C97" s="1475"/>
      <c r="D97" s="457" t="s">
        <v>289</v>
      </c>
      <c r="E97" s="162"/>
      <c r="F97" s="162"/>
      <c r="G97" s="162"/>
      <c r="H97" s="162"/>
      <c r="I97" s="162"/>
      <c r="J97" s="163"/>
      <c r="K97" s="162"/>
      <c r="L97" s="162"/>
      <c r="M97" s="162"/>
      <c r="N97" s="162"/>
      <c r="O97" s="163"/>
      <c r="P97" s="163"/>
      <c r="Q97" s="163"/>
      <c r="R97" s="163"/>
      <c r="S97" s="163"/>
      <c r="T97" s="720">
        <f>(T96/T94)*100</f>
        <v>14.583333333333334</v>
      </c>
      <c r="U97" s="720">
        <f>(U96/U94)*100</f>
        <v>7.5</v>
      </c>
      <c r="V97" s="720">
        <f>(V96/V94)*100</f>
        <v>5</v>
      </c>
      <c r="W97" s="162"/>
      <c r="X97" s="1008"/>
    </row>
    <row r="98" spans="1:28" ht="15" hidden="1" thickBot="1">
      <c r="A98" s="1457"/>
      <c r="B98" s="1403"/>
      <c r="C98" s="1450" t="s">
        <v>706</v>
      </c>
      <c r="D98" s="393" t="s">
        <v>416</v>
      </c>
      <c r="E98" s="151"/>
      <c r="F98" s="151"/>
      <c r="G98" s="151"/>
      <c r="H98" s="151"/>
      <c r="I98" s="151"/>
      <c r="J98" s="456"/>
      <c r="K98" s="151"/>
      <c r="L98" s="151"/>
      <c r="M98" s="151"/>
      <c r="N98" s="151"/>
      <c r="O98" s="456"/>
      <c r="P98" s="456"/>
      <c r="Q98" s="456"/>
      <c r="R98" s="456"/>
      <c r="S98" s="456"/>
      <c r="T98" s="456"/>
      <c r="U98" s="152">
        <v>21</v>
      </c>
      <c r="V98" s="152"/>
      <c r="W98" s="152"/>
      <c r="X98" s="1010"/>
    </row>
    <row r="99" spans="1:28" ht="15" hidden="1" thickBot="1">
      <c r="A99" s="1457"/>
      <c r="B99" s="1403"/>
      <c r="C99" s="1450"/>
      <c r="D99" s="238" t="s">
        <v>345</v>
      </c>
      <c r="E99" s="151"/>
      <c r="F99" s="151"/>
      <c r="G99" s="151"/>
      <c r="H99" s="151"/>
      <c r="I99" s="151"/>
      <c r="J99" s="456"/>
      <c r="K99" s="151"/>
      <c r="L99" s="151"/>
      <c r="M99" s="151"/>
      <c r="N99" s="151"/>
      <c r="O99" s="456"/>
      <c r="P99" s="456"/>
      <c r="Q99" s="456"/>
      <c r="R99" s="456"/>
      <c r="S99" s="456"/>
      <c r="T99" s="456"/>
      <c r="U99" s="153">
        <v>11</v>
      </c>
      <c r="V99" s="293"/>
      <c r="W99" s="152"/>
      <c r="X99" s="1010"/>
    </row>
    <row r="100" spans="1:28" ht="15" hidden="1" thickBot="1">
      <c r="A100" s="1457"/>
      <c r="B100" s="1403"/>
      <c r="C100" s="1450"/>
      <c r="D100" s="238" t="s">
        <v>346</v>
      </c>
      <c r="E100" s="134"/>
      <c r="F100" s="134"/>
      <c r="G100" s="134"/>
      <c r="H100" s="134"/>
      <c r="I100" s="134"/>
      <c r="J100" s="156"/>
      <c r="K100" s="134"/>
      <c r="L100" s="134"/>
      <c r="M100" s="134"/>
      <c r="N100" s="134"/>
      <c r="O100" s="156"/>
      <c r="P100" s="156"/>
      <c r="Q100" s="156"/>
      <c r="R100" s="156"/>
      <c r="S100" s="156"/>
      <c r="T100" s="156"/>
      <c r="U100" s="153">
        <v>10</v>
      </c>
      <c r="V100" s="161"/>
      <c r="W100" s="134"/>
      <c r="X100" s="1004"/>
    </row>
    <row r="101" spans="1:28" ht="15" hidden="1" thickBot="1">
      <c r="A101" s="1457"/>
      <c r="B101" s="1403"/>
      <c r="C101" s="1451"/>
      <c r="D101" s="394" t="s">
        <v>289</v>
      </c>
      <c r="E101" s="162"/>
      <c r="F101" s="162"/>
      <c r="G101" s="162"/>
      <c r="H101" s="162"/>
      <c r="I101" s="162"/>
      <c r="J101" s="163"/>
      <c r="K101" s="162"/>
      <c r="L101" s="162"/>
      <c r="M101" s="162"/>
      <c r="N101" s="162"/>
      <c r="O101" s="163"/>
      <c r="P101" s="163"/>
      <c r="Q101" s="163"/>
      <c r="R101" s="163"/>
      <c r="S101" s="163"/>
      <c r="T101" s="163"/>
      <c r="U101" s="576">
        <f>(U100/U98)*100</f>
        <v>47.619047619047613</v>
      </c>
      <c r="V101" s="164"/>
      <c r="W101" s="162"/>
      <c r="X101" s="1008"/>
    </row>
    <row r="102" spans="1:28">
      <c r="A102" s="1457"/>
      <c r="B102" s="1403"/>
      <c r="C102" s="1476" t="s">
        <v>707</v>
      </c>
      <c r="D102" s="158" t="s">
        <v>411</v>
      </c>
      <c r="E102" s="149"/>
      <c r="F102" s="149"/>
      <c r="G102" s="149"/>
      <c r="H102" s="149"/>
      <c r="I102" s="149"/>
      <c r="J102" s="725">
        <v>52.631578947368418</v>
      </c>
      <c r="K102" s="149"/>
      <c r="L102" s="149"/>
      <c r="M102" s="149"/>
      <c r="N102" s="149"/>
      <c r="O102" s="725">
        <v>52.631578947368418</v>
      </c>
      <c r="P102" s="159"/>
      <c r="Q102" s="159"/>
      <c r="R102" s="159"/>
      <c r="S102" s="159"/>
      <c r="T102" s="725">
        <v>60</v>
      </c>
      <c r="U102" s="725">
        <v>57.142857142857139</v>
      </c>
      <c r="V102" s="725">
        <v>50</v>
      </c>
      <c r="W102" s="1071">
        <f>0.476190476190476*100</f>
        <v>47.619047619047599</v>
      </c>
      <c r="X102" s="1009"/>
      <c r="Y102" s="722"/>
      <c r="Z102" s="722"/>
      <c r="AA102" s="722"/>
      <c r="AB102" s="722"/>
    </row>
    <row r="103" spans="1:28">
      <c r="A103" s="1457"/>
      <c r="B103" s="1403"/>
      <c r="C103" s="1477"/>
      <c r="D103" s="192" t="s">
        <v>412</v>
      </c>
      <c r="E103" s="165"/>
      <c r="F103" s="165"/>
      <c r="G103" s="165"/>
      <c r="H103" s="166"/>
      <c r="I103" s="165"/>
      <c r="J103" s="724">
        <v>36.84210526315789</v>
      </c>
      <c r="K103" s="165"/>
      <c r="L103" s="165"/>
      <c r="M103" s="165"/>
      <c r="N103" s="165"/>
      <c r="O103" s="724">
        <v>26.315789473684209</v>
      </c>
      <c r="P103" s="456"/>
      <c r="Q103" s="456"/>
      <c r="R103" s="456"/>
      <c r="S103" s="456"/>
      <c r="T103" s="724">
        <v>20</v>
      </c>
      <c r="U103" s="724">
        <v>19.047619047619047</v>
      </c>
      <c r="V103" s="724">
        <v>30</v>
      </c>
      <c r="W103" s="1072">
        <f>0.285714285714286*100</f>
        <v>28.571428571428598</v>
      </c>
      <c r="X103" s="1010"/>
      <c r="Y103" s="722"/>
      <c r="Z103" s="722"/>
      <c r="AA103" s="722"/>
      <c r="AB103" s="722"/>
    </row>
    <row r="104" spans="1:28" ht="15" thickBot="1">
      <c r="A104" s="1457"/>
      <c r="B104" s="1404"/>
      <c r="C104" s="1477"/>
      <c r="D104" s="278" t="s">
        <v>413</v>
      </c>
      <c r="E104" s="166"/>
      <c r="F104" s="166"/>
      <c r="G104" s="279"/>
      <c r="H104" s="281"/>
      <c r="I104" s="280"/>
      <c r="J104" s="726">
        <v>10.526315789473683</v>
      </c>
      <c r="K104" s="280"/>
      <c r="L104" s="280"/>
      <c r="M104" s="280"/>
      <c r="N104" s="280"/>
      <c r="O104" s="726">
        <v>21.052631578947366</v>
      </c>
      <c r="P104" s="277"/>
      <c r="Q104" s="277"/>
      <c r="R104" s="277"/>
      <c r="S104" s="277"/>
      <c r="T104" s="726">
        <v>20</v>
      </c>
      <c r="U104" s="726">
        <v>23.809523809523807</v>
      </c>
      <c r="V104" s="726">
        <v>20</v>
      </c>
      <c r="W104" s="1073">
        <f>0.238095238095238*100</f>
        <v>23.8095238095238</v>
      </c>
      <c r="X104" s="849"/>
      <c r="Y104" s="722"/>
      <c r="Z104" s="722"/>
      <c r="AA104" s="722"/>
      <c r="AB104" s="722"/>
    </row>
    <row r="105" spans="1:28" ht="39.75" customHeight="1" thickBot="1">
      <c r="A105" s="1457"/>
      <c r="B105" s="1400" t="s">
        <v>246</v>
      </c>
      <c r="C105" s="1401"/>
      <c r="D105" s="388"/>
      <c r="E105" s="284" t="s">
        <v>622</v>
      </c>
      <c r="F105" s="285" t="s">
        <v>623</v>
      </c>
      <c r="G105" s="284" t="s">
        <v>624</v>
      </c>
      <c r="H105" s="285" t="s">
        <v>625</v>
      </c>
      <c r="I105" s="284" t="s">
        <v>626</v>
      </c>
      <c r="J105" s="285" t="s">
        <v>627</v>
      </c>
      <c r="K105" s="284" t="s">
        <v>628</v>
      </c>
      <c r="L105" s="285" t="s">
        <v>629</v>
      </c>
      <c r="M105" s="284" t="s">
        <v>630</v>
      </c>
      <c r="N105" s="285" t="s">
        <v>631</v>
      </c>
      <c r="O105" s="284" t="s">
        <v>632</v>
      </c>
      <c r="P105" s="285" t="s">
        <v>633</v>
      </c>
      <c r="Q105" s="284" t="s">
        <v>634</v>
      </c>
      <c r="R105" s="285" t="s">
        <v>635</v>
      </c>
      <c r="S105" s="285" t="s">
        <v>636</v>
      </c>
      <c r="T105" s="285" t="s">
        <v>637</v>
      </c>
      <c r="U105" s="285" t="s">
        <v>638</v>
      </c>
      <c r="V105" s="285" t="s">
        <v>639</v>
      </c>
      <c r="W105" s="285" t="s">
        <v>640</v>
      </c>
      <c r="X105" s="1005" t="s">
        <v>641</v>
      </c>
      <c r="AA105" s="827"/>
      <c r="AB105" s="827"/>
    </row>
    <row r="106" spans="1:28">
      <c r="A106" s="1457"/>
      <c r="B106" s="1260" t="s">
        <v>708</v>
      </c>
      <c r="C106" s="1383" t="s">
        <v>416</v>
      </c>
      <c r="D106" s="1384"/>
      <c r="E106" s="149"/>
      <c r="F106" s="149"/>
      <c r="G106" s="149"/>
      <c r="H106" s="149"/>
      <c r="I106" s="149"/>
      <c r="J106" s="150">
        <v>20261</v>
      </c>
      <c r="K106" s="151"/>
      <c r="L106" s="151"/>
      <c r="M106" s="151"/>
      <c r="N106" s="151"/>
      <c r="O106" s="150">
        <v>22264</v>
      </c>
      <c r="P106" s="150"/>
      <c r="Q106" s="150"/>
      <c r="R106" s="150"/>
      <c r="S106" s="150"/>
      <c r="T106" s="150">
        <v>37615</v>
      </c>
      <c r="U106" s="150">
        <v>37998</v>
      </c>
      <c r="V106" s="459">
        <v>40865</v>
      </c>
      <c r="W106" s="172">
        <f>W107+W108</f>
        <v>44596</v>
      </c>
      <c r="X106" s="1011"/>
    </row>
    <row r="107" spans="1:28">
      <c r="A107" s="1457"/>
      <c r="B107" s="1230"/>
      <c r="C107" s="1478" t="s">
        <v>345</v>
      </c>
      <c r="D107" s="1447"/>
      <c r="E107" s="151"/>
      <c r="F107" s="151"/>
      <c r="G107" s="151"/>
      <c r="H107" s="151"/>
      <c r="I107" s="151"/>
      <c r="J107" s="153">
        <v>10376</v>
      </c>
      <c r="K107" s="151"/>
      <c r="L107" s="151"/>
      <c r="M107" s="151"/>
      <c r="N107" s="151"/>
      <c r="O107" s="153">
        <v>12062</v>
      </c>
      <c r="P107" s="152"/>
      <c r="Q107" s="152"/>
      <c r="R107" s="152"/>
      <c r="S107" s="152"/>
      <c r="T107" s="153">
        <v>20258</v>
      </c>
      <c r="U107" s="153">
        <v>20313</v>
      </c>
      <c r="V107" s="153">
        <v>21308</v>
      </c>
      <c r="W107" s="153">
        <v>22640</v>
      </c>
      <c r="X107" s="998"/>
    </row>
    <row r="108" spans="1:28">
      <c r="A108" s="1457"/>
      <c r="B108" s="1230"/>
      <c r="C108" s="1478" t="s">
        <v>346</v>
      </c>
      <c r="D108" s="1447"/>
      <c r="E108" s="134"/>
      <c r="F108" s="134"/>
      <c r="G108" s="134"/>
      <c r="H108" s="134"/>
      <c r="I108" s="134"/>
      <c r="J108" s="153">
        <v>9885</v>
      </c>
      <c r="K108" s="134"/>
      <c r="L108" s="134"/>
      <c r="M108" s="134"/>
      <c r="N108" s="134"/>
      <c r="O108" s="153">
        <v>10202</v>
      </c>
      <c r="P108" s="156"/>
      <c r="Q108" s="156"/>
      <c r="R108" s="156"/>
      <c r="S108" s="156"/>
      <c r="T108" s="153">
        <v>17357</v>
      </c>
      <c r="U108" s="153">
        <v>17685</v>
      </c>
      <c r="V108" s="153">
        <v>19557</v>
      </c>
      <c r="W108" s="153">
        <v>21956</v>
      </c>
      <c r="X108" s="1004"/>
    </row>
    <row r="109" spans="1:28" ht="15" thickBot="1">
      <c r="A109" s="1457"/>
      <c r="B109" s="1230"/>
      <c r="C109" s="1479" t="s">
        <v>289</v>
      </c>
      <c r="D109" s="1449"/>
      <c r="E109" s="162"/>
      <c r="F109" s="162"/>
      <c r="G109" s="162"/>
      <c r="H109" s="162"/>
      <c r="I109" s="162"/>
      <c r="J109" s="811">
        <f>J108/J106*100</f>
        <v>48.788312521593205</v>
      </c>
      <c r="K109" s="157"/>
      <c r="L109" s="157"/>
      <c r="M109" s="157"/>
      <c r="N109" s="157"/>
      <c r="O109" s="811">
        <f>O108/O106*100</f>
        <v>45.822853036291775</v>
      </c>
      <c r="P109" s="163"/>
      <c r="Q109" s="163"/>
      <c r="R109" s="163"/>
      <c r="S109" s="163"/>
      <c r="T109" s="811">
        <f>T108/T106*100</f>
        <v>46.143825601488771</v>
      </c>
      <c r="U109" s="811">
        <f>U108/U106*100</f>
        <v>46.541923259118903</v>
      </c>
      <c r="V109" s="811">
        <f>V108/V106*100</f>
        <v>47.857579836045517</v>
      </c>
      <c r="W109" s="811">
        <f>W108/W106*100</f>
        <v>49.233115077585431</v>
      </c>
      <c r="X109" s="1008"/>
    </row>
    <row r="110" spans="1:28" ht="14.5" hidden="1" customHeight="1">
      <c r="A110" s="458"/>
      <c r="B110" s="1230"/>
      <c r="C110" s="1480" t="s">
        <v>686</v>
      </c>
      <c r="D110" s="393" t="s">
        <v>416</v>
      </c>
      <c r="E110" s="151"/>
      <c r="F110" s="151"/>
      <c r="G110" s="151"/>
      <c r="H110" s="151"/>
      <c r="I110" s="151"/>
      <c r="J110" s="152">
        <v>2634</v>
      </c>
      <c r="K110" s="151"/>
      <c r="L110" s="151"/>
      <c r="M110" s="151"/>
      <c r="N110" s="151"/>
      <c r="O110" s="152">
        <v>2617</v>
      </c>
      <c r="P110" s="152"/>
      <c r="Q110" s="152"/>
      <c r="R110" s="152"/>
      <c r="S110" s="152"/>
      <c r="T110" s="152">
        <v>5211</v>
      </c>
      <c r="U110" s="152">
        <v>6075</v>
      </c>
      <c r="V110" s="152">
        <v>8223</v>
      </c>
      <c r="W110" s="173"/>
      <c r="X110" s="998"/>
      <c r="Y110" s="722"/>
      <c r="Z110" s="722"/>
      <c r="AA110" s="722"/>
      <c r="AB110" s="722"/>
    </row>
    <row r="111" spans="1:28" hidden="1">
      <c r="A111" s="458"/>
      <c r="B111" s="1230"/>
      <c r="C111" s="1481"/>
      <c r="D111" s="238" t="s">
        <v>345</v>
      </c>
      <c r="E111" s="165"/>
      <c r="F111" s="165"/>
      <c r="G111" s="165"/>
      <c r="H111" s="165"/>
      <c r="I111" s="165"/>
      <c r="J111" s="153">
        <v>745</v>
      </c>
      <c r="K111" s="134"/>
      <c r="L111" s="134"/>
      <c r="M111" s="134"/>
      <c r="N111" s="134"/>
      <c r="O111" s="153">
        <v>782</v>
      </c>
      <c r="P111" s="156"/>
      <c r="Q111" s="156"/>
      <c r="R111" s="156"/>
      <c r="S111" s="156"/>
      <c r="T111" s="153">
        <v>1406</v>
      </c>
      <c r="U111" s="153">
        <v>1627</v>
      </c>
      <c r="V111" s="153">
        <v>2142</v>
      </c>
      <c r="W111" s="134"/>
      <c r="X111" s="1004"/>
      <c r="Y111" s="722"/>
      <c r="Z111" s="722"/>
      <c r="AA111" s="722"/>
      <c r="AB111" s="722"/>
    </row>
    <row r="112" spans="1:28" hidden="1">
      <c r="A112" s="458"/>
      <c r="B112" s="1230"/>
      <c r="C112" s="1481"/>
      <c r="D112" s="238" t="s">
        <v>346</v>
      </c>
      <c r="E112" s="165"/>
      <c r="F112" s="165"/>
      <c r="G112" s="165"/>
      <c r="H112" s="165"/>
      <c r="I112" s="165"/>
      <c r="J112" s="153">
        <v>1889</v>
      </c>
      <c r="K112" s="191"/>
      <c r="L112" s="191"/>
      <c r="M112" s="191"/>
      <c r="N112" s="191"/>
      <c r="O112" s="153">
        <v>1835</v>
      </c>
      <c r="P112" s="454"/>
      <c r="Q112" s="454"/>
      <c r="R112" s="454"/>
      <c r="S112" s="454"/>
      <c r="T112" s="153">
        <v>3805</v>
      </c>
      <c r="U112" s="153">
        <v>4448</v>
      </c>
      <c r="V112" s="153">
        <v>6081</v>
      </c>
      <c r="W112" s="134"/>
      <c r="X112" s="1007"/>
      <c r="Y112" s="722"/>
      <c r="Z112" s="722"/>
      <c r="AA112" s="722"/>
      <c r="AB112" s="722"/>
    </row>
    <row r="113" spans="1:24" ht="15" hidden="1" thickBot="1">
      <c r="A113" s="458"/>
      <c r="B113" s="1230"/>
      <c r="C113" s="1482"/>
      <c r="D113" s="394" t="s">
        <v>289</v>
      </c>
      <c r="E113" s="157"/>
      <c r="F113" s="157"/>
      <c r="G113" s="157"/>
      <c r="H113" s="157"/>
      <c r="I113" s="157"/>
      <c r="J113" s="723">
        <f>(J112/J110*100)</f>
        <v>71.716021260440399</v>
      </c>
      <c r="K113" s="162"/>
      <c r="L113" s="162"/>
      <c r="M113" s="162"/>
      <c r="N113" s="162"/>
      <c r="O113" s="723">
        <f>(O112/O110*100)</f>
        <v>70.118456247611775</v>
      </c>
      <c r="P113" s="163"/>
      <c r="Q113" s="163"/>
      <c r="R113" s="163"/>
      <c r="S113" s="163"/>
      <c r="T113" s="723">
        <f>(T112/T110*100)</f>
        <v>73.018614469391679</v>
      </c>
      <c r="U113" s="723">
        <f>(U112/U110*100)</f>
        <v>73.218106995884767</v>
      </c>
      <c r="V113" s="723">
        <f>(V112/V110*100)</f>
        <v>73.951112732579347</v>
      </c>
      <c r="W113" s="162"/>
      <c r="X113" s="1008"/>
    </row>
    <row r="114" spans="1:24" hidden="1">
      <c r="A114" s="458"/>
      <c r="B114" s="1230"/>
      <c r="C114" s="1483" t="s">
        <v>687</v>
      </c>
      <c r="D114" s="393" t="s">
        <v>416</v>
      </c>
      <c r="E114" s="149"/>
      <c r="F114" s="149"/>
      <c r="G114" s="149"/>
      <c r="H114" s="149"/>
      <c r="I114" s="149"/>
      <c r="J114" s="152">
        <v>2391</v>
      </c>
      <c r="K114" s="149"/>
      <c r="L114" s="149"/>
      <c r="M114" s="149"/>
      <c r="N114" s="149"/>
      <c r="O114" s="152">
        <v>2834</v>
      </c>
      <c r="P114" s="152"/>
      <c r="Q114" s="152"/>
      <c r="R114" s="152"/>
      <c r="S114" s="152"/>
      <c r="T114" s="152">
        <v>6496</v>
      </c>
      <c r="U114" s="152">
        <v>6945</v>
      </c>
      <c r="V114" s="152">
        <v>7673</v>
      </c>
      <c r="W114" s="168"/>
      <c r="X114" s="998"/>
    </row>
    <row r="115" spans="1:24" hidden="1">
      <c r="A115" s="458"/>
      <c r="B115" s="1230"/>
      <c r="C115" s="1481"/>
      <c r="D115" s="238" t="s">
        <v>345</v>
      </c>
      <c r="E115" s="165"/>
      <c r="F115" s="165"/>
      <c r="G115" s="165"/>
      <c r="H115" s="165"/>
      <c r="I115" s="165"/>
      <c r="J115" s="153">
        <v>2012</v>
      </c>
      <c r="K115" s="134"/>
      <c r="L115" s="134"/>
      <c r="M115" s="134"/>
      <c r="N115" s="134"/>
      <c r="O115" s="153">
        <v>2424</v>
      </c>
      <c r="P115" s="156"/>
      <c r="Q115" s="156"/>
      <c r="R115" s="156"/>
      <c r="S115" s="156"/>
      <c r="T115" s="153">
        <v>5571</v>
      </c>
      <c r="U115" s="153">
        <v>5938</v>
      </c>
      <c r="V115" s="153">
        <v>6493</v>
      </c>
      <c r="W115" s="134"/>
      <c r="X115" s="1004"/>
    </row>
    <row r="116" spans="1:24" hidden="1">
      <c r="A116" s="458"/>
      <c r="B116" s="1230"/>
      <c r="C116" s="1481"/>
      <c r="D116" s="238" t="s">
        <v>346</v>
      </c>
      <c r="E116" s="165"/>
      <c r="F116" s="165"/>
      <c r="G116" s="165"/>
      <c r="H116" s="165"/>
      <c r="I116" s="165"/>
      <c r="J116" s="153">
        <v>379</v>
      </c>
      <c r="K116" s="191"/>
      <c r="L116" s="191"/>
      <c r="M116" s="191"/>
      <c r="N116" s="191"/>
      <c r="O116" s="153">
        <v>410</v>
      </c>
      <c r="P116" s="454"/>
      <c r="Q116" s="454"/>
      <c r="R116" s="454"/>
      <c r="S116" s="454"/>
      <c r="T116" s="153">
        <v>924</v>
      </c>
      <c r="U116" s="153">
        <v>1007</v>
      </c>
      <c r="V116" s="153">
        <v>1180</v>
      </c>
      <c r="W116" s="134"/>
      <c r="X116" s="1007"/>
    </row>
    <row r="117" spans="1:24" ht="15" hidden="1" thickBot="1">
      <c r="A117" s="458"/>
      <c r="B117" s="1230"/>
      <c r="C117" s="1482"/>
      <c r="D117" s="394" t="s">
        <v>289</v>
      </c>
      <c r="E117" s="157"/>
      <c r="F117" s="157"/>
      <c r="G117" s="157"/>
      <c r="H117" s="157"/>
      <c r="I117" s="157"/>
      <c r="J117" s="720">
        <f>(J116/J114*100)</f>
        <v>15.851108322877458</v>
      </c>
      <c r="K117" s="162"/>
      <c r="L117" s="162"/>
      <c r="M117" s="162"/>
      <c r="N117" s="162"/>
      <c r="O117" s="720">
        <f>(O116/O114*100)</f>
        <v>14.467184191954836</v>
      </c>
      <c r="P117" s="163"/>
      <c r="Q117" s="163"/>
      <c r="R117" s="163"/>
      <c r="S117" s="163"/>
      <c r="T117" s="720">
        <f>(T116/T114*100)</f>
        <v>14.224137931034484</v>
      </c>
      <c r="U117" s="720">
        <f>(U116/U114*100)</f>
        <v>14.499640028797698</v>
      </c>
      <c r="V117" s="720">
        <f>(V116/V114*100)</f>
        <v>15.378600286719665</v>
      </c>
      <c r="W117" s="162"/>
      <c r="X117" s="1008"/>
    </row>
    <row r="118" spans="1:24" hidden="1">
      <c r="A118" s="458"/>
      <c r="B118" s="1230"/>
      <c r="C118" s="1483" t="s">
        <v>688</v>
      </c>
      <c r="D118" s="393" t="s">
        <v>416</v>
      </c>
      <c r="E118" s="149"/>
      <c r="F118" s="149"/>
      <c r="G118" s="149"/>
      <c r="H118" s="149"/>
      <c r="I118" s="149"/>
      <c r="J118" s="152">
        <v>2401</v>
      </c>
      <c r="K118" s="149"/>
      <c r="L118" s="149"/>
      <c r="M118" s="149"/>
      <c r="N118" s="149"/>
      <c r="O118" s="152">
        <v>2113</v>
      </c>
      <c r="P118" s="152"/>
      <c r="Q118" s="152"/>
      <c r="R118" s="152"/>
      <c r="S118" s="152"/>
      <c r="T118" s="152">
        <v>3423</v>
      </c>
      <c r="U118" s="152">
        <v>3324</v>
      </c>
      <c r="V118" s="152">
        <v>3534</v>
      </c>
      <c r="W118" s="168"/>
      <c r="X118" s="998"/>
    </row>
    <row r="119" spans="1:24" hidden="1">
      <c r="A119" s="458"/>
      <c r="B119" s="1230"/>
      <c r="C119" s="1481"/>
      <c r="D119" s="238" t="s">
        <v>345</v>
      </c>
      <c r="E119" s="165"/>
      <c r="F119" s="165"/>
      <c r="G119" s="165"/>
      <c r="H119" s="165"/>
      <c r="I119" s="165"/>
      <c r="J119" s="153">
        <v>789</v>
      </c>
      <c r="K119" s="134"/>
      <c r="L119" s="134"/>
      <c r="M119" s="134"/>
      <c r="N119" s="134"/>
      <c r="O119" s="153">
        <v>911</v>
      </c>
      <c r="P119" s="156"/>
      <c r="Q119" s="156"/>
      <c r="R119" s="156"/>
      <c r="S119" s="156"/>
      <c r="T119" s="153">
        <v>1496</v>
      </c>
      <c r="U119" s="153">
        <v>1481</v>
      </c>
      <c r="V119" s="153">
        <v>1636</v>
      </c>
      <c r="W119" s="134"/>
      <c r="X119" s="1004"/>
    </row>
    <row r="120" spans="1:24" hidden="1">
      <c r="A120" s="458"/>
      <c r="B120" s="1230"/>
      <c r="C120" s="1481"/>
      <c r="D120" s="238" t="s">
        <v>346</v>
      </c>
      <c r="E120" s="165"/>
      <c r="F120" s="165"/>
      <c r="G120" s="165"/>
      <c r="H120" s="165"/>
      <c r="I120" s="165"/>
      <c r="J120" s="153">
        <v>1612</v>
      </c>
      <c r="K120" s="191"/>
      <c r="L120" s="191"/>
      <c r="M120" s="191"/>
      <c r="N120" s="191"/>
      <c r="O120" s="153">
        <v>1202</v>
      </c>
      <c r="P120" s="454"/>
      <c r="Q120" s="454"/>
      <c r="R120" s="454"/>
      <c r="S120" s="454"/>
      <c r="T120" s="153">
        <v>1927</v>
      </c>
      <c r="U120" s="153">
        <v>1843</v>
      </c>
      <c r="V120" s="153">
        <v>1898</v>
      </c>
      <c r="W120" s="134"/>
      <c r="X120" s="1007"/>
    </row>
    <row r="121" spans="1:24" ht="15" hidden="1" thickBot="1">
      <c r="A121" s="458"/>
      <c r="B121" s="1230"/>
      <c r="C121" s="1482"/>
      <c r="D121" s="394" t="s">
        <v>289</v>
      </c>
      <c r="E121" s="157"/>
      <c r="F121" s="157"/>
      <c r="G121" s="157"/>
      <c r="H121" s="157"/>
      <c r="I121" s="157"/>
      <c r="J121" s="720">
        <f>(J120/J118*100)</f>
        <v>67.138692211578515</v>
      </c>
      <c r="K121" s="162"/>
      <c r="L121" s="162"/>
      <c r="M121" s="162"/>
      <c r="N121" s="162"/>
      <c r="O121" s="721">
        <f>(O120/O118*100)</f>
        <v>56.885944155229531</v>
      </c>
      <c r="P121" s="163"/>
      <c r="Q121" s="163"/>
      <c r="R121" s="163"/>
      <c r="S121" s="163"/>
      <c r="T121" s="721">
        <f>(T120/T118*100)</f>
        <v>56.295647093193104</v>
      </c>
      <c r="U121" s="721">
        <f>(U120/U118*100)</f>
        <v>55.445246690734052</v>
      </c>
      <c r="V121" s="721">
        <f>(V120/V118*100)</f>
        <v>53.706847764572721</v>
      </c>
      <c r="W121" s="162"/>
      <c r="X121" s="1008"/>
    </row>
    <row r="122" spans="1:24" hidden="1">
      <c r="A122" s="458"/>
      <c r="B122" s="1230"/>
      <c r="C122" s="1483" t="s">
        <v>691</v>
      </c>
      <c r="D122" s="393" t="s">
        <v>416</v>
      </c>
      <c r="E122" s="149"/>
      <c r="F122" s="149"/>
      <c r="G122" s="149"/>
      <c r="H122" s="149"/>
      <c r="I122" s="149"/>
      <c r="J122" s="152">
        <v>2739</v>
      </c>
      <c r="K122" s="149"/>
      <c r="L122" s="149"/>
      <c r="M122" s="149"/>
      <c r="N122" s="149"/>
      <c r="O122" s="152">
        <v>3070</v>
      </c>
      <c r="P122" s="152"/>
      <c r="Q122" s="152"/>
      <c r="R122" s="152"/>
      <c r="S122" s="152"/>
      <c r="T122" s="152">
        <v>4289</v>
      </c>
      <c r="U122" s="152">
        <v>4196</v>
      </c>
      <c r="V122" s="152">
        <v>4234</v>
      </c>
      <c r="W122" s="168"/>
      <c r="X122" s="998"/>
    </row>
    <row r="123" spans="1:24" hidden="1">
      <c r="A123" s="458"/>
      <c r="B123" s="1230"/>
      <c r="C123" s="1481"/>
      <c r="D123" s="238" t="s">
        <v>345</v>
      </c>
      <c r="E123" s="165"/>
      <c r="F123" s="165"/>
      <c r="G123" s="165"/>
      <c r="H123" s="165"/>
      <c r="I123" s="165"/>
      <c r="J123" s="153">
        <v>344</v>
      </c>
      <c r="K123" s="134"/>
      <c r="L123" s="134"/>
      <c r="M123" s="134"/>
      <c r="N123" s="134"/>
      <c r="O123" s="153">
        <v>364</v>
      </c>
      <c r="P123" s="156"/>
      <c r="Q123" s="156"/>
      <c r="R123" s="156"/>
      <c r="S123" s="156"/>
      <c r="T123" s="153">
        <v>606</v>
      </c>
      <c r="U123" s="153">
        <v>2213</v>
      </c>
      <c r="V123" s="153">
        <v>612</v>
      </c>
      <c r="W123" s="134"/>
      <c r="X123" s="1004"/>
    </row>
    <row r="124" spans="1:24" hidden="1">
      <c r="A124" s="458"/>
      <c r="B124" s="1230"/>
      <c r="C124" s="1481"/>
      <c r="D124" s="238" t="s">
        <v>346</v>
      </c>
      <c r="E124" s="165"/>
      <c r="F124" s="165"/>
      <c r="G124" s="165"/>
      <c r="H124" s="165"/>
      <c r="I124" s="165"/>
      <c r="J124" s="153">
        <v>2395</v>
      </c>
      <c r="K124" s="191"/>
      <c r="L124" s="191"/>
      <c r="M124" s="191"/>
      <c r="N124" s="191"/>
      <c r="O124" s="153">
        <v>2706</v>
      </c>
      <c r="P124" s="454"/>
      <c r="Q124" s="454"/>
      <c r="R124" s="454"/>
      <c r="S124" s="454"/>
      <c r="T124" s="153">
        <v>3683</v>
      </c>
      <c r="U124" s="153">
        <v>3612</v>
      </c>
      <c r="V124" s="153">
        <v>3622</v>
      </c>
      <c r="W124" s="134"/>
      <c r="X124" s="1007"/>
    </row>
    <row r="125" spans="1:24" ht="15" hidden="1" thickBot="1">
      <c r="A125" s="458"/>
      <c r="B125" s="1230"/>
      <c r="C125" s="1482"/>
      <c r="D125" s="394" t="s">
        <v>289</v>
      </c>
      <c r="E125" s="157"/>
      <c r="F125" s="157"/>
      <c r="G125" s="157"/>
      <c r="H125" s="157"/>
      <c r="I125" s="157"/>
      <c r="J125" s="723">
        <f>(J124/J122*100)</f>
        <v>87.440671778021169</v>
      </c>
      <c r="K125" s="162"/>
      <c r="L125" s="162"/>
      <c r="M125" s="162"/>
      <c r="N125" s="162"/>
      <c r="O125" s="723">
        <f>(O124/O122*100)</f>
        <v>88.143322475570031</v>
      </c>
      <c r="P125" s="163"/>
      <c r="Q125" s="163"/>
      <c r="R125" s="163"/>
      <c r="S125" s="163"/>
      <c r="T125" s="723">
        <f>(T124/T122*100)</f>
        <v>85.870832361855904</v>
      </c>
      <c r="U125" s="723">
        <f>(U124/U122*100)</f>
        <v>86.081982840800762</v>
      </c>
      <c r="V125" s="723">
        <f>(V124/V122*100)</f>
        <v>85.545583372697209</v>
      </c>
      <c r="W125" s="162"/>
      <c r="X125" s="1008"/>
    </row>
    <row r="126" spans="1:24" hidden="1">
      <c r="A126" s="458"/>
      <c r="B126" s="1230"/>
      <c r="C126" s="1483" t="s">
        <v>696</v>
      </c>
      <c r="D126" s="393" t="s">
        <v>416</v>
      </c>
      <c r="E126" s="168"/>
      <c r="F126" s="168"/>
      <c r="G126" s="168"/>
      <c r="H126" s="168"/>
      <c r="I126" s="168"/>
      <c r="J126" s="152">
        <v>1276</v>
      </c>
      <c r="K126" s="149"/>
      <c r="L126" s="149"/>
      <c r="M126" s="149"/>
      <c r="N126" s="149"/>
      <c r="O126" s="152">
        <v>1413</v>
      </c>
      <c r="P126" s="152"/>
      <c r="Q126" s="152"/>
      <c r="R126" s="152"/>
      <c r="S126" s="152"/>
      <c r="T126" s="152">
        <v>3147</v>
      </c>
      <c r="U126" s="152">
        <v>3290</v>
      </c>
      <c r="V126" s="152">
        <v>3412</v>
      </c>
      <c r="W126" s="168"/>
      <c r="X126" s="998"/>
    </row>
    <row r="127" spans="1:24" hidden="1">
      <c r="A127" s="458"/>
      <c r="B127" s="1230"/>
      <c r="C127" s="1481"/>
      <c r="D127" s="238" t="s">
        <v>345</v>
      </c>
      <c r="E127" s="134"/>
      <c r="F127" s="134"/>
      <c r="G127" s="134"/>
      <c r="H127" s="134"/>
      <c r="I127" s="134"/>
      <c r="J127" s="153">
        <v>728</v>
      </c>
      <c r="K127" s="134"/>
      <c r="L127" s="134"/>
      <c r="M127" s="134"/>
      <c r="N127" s="134"/>
      <c r="O127" s="153">
        <v>773</v>
      </c>
      <c r="P127" s="156"/>
      <c r="Q127" s="156"/>
      <c r="R127" s="156"/>
      <c r="S127" s="156"/>
      <c r="T127" s="153">
        <v>1735</v>
      </c>
      <c r="U127" s="153">
        <v>1801</v>
      </c>
      <c r="V127" s="153">
        <v>1788</v>
      </c>
      <c r="W127" s="134"/>
      <c r="X127" s="1004"/>
    </row>
    <row r="128" spans="1:24" hidden="1">
      <c r="A128" s="458"/>
      <c r="B128" s="1230"/>
      <c r="C128" s="1481"/>
      <c r="D128" s="238" t="s">
        <v>346</v>
      </c>
      <c r="E128" s="134"/>
      <c r="F128" s="134"/>
      <c r="G128" s="134"/>
      <c r="H128" s="134"/>
      <c r="I128" s="134"/>
      <c r="J128" s="153">
        <v>548</v>
      </c>
      <c r="K128" s="191"/>
      <c r="L128" s="191"/>
      <c r="M128" s="191"/>
      <c r="N128" s="191"/>
      <c r="O128" s="153">
        <v>640</v>
      </c>
      <c r="P128" s="454"/>
      <c r="Q128" s="454"/>
      <c r="R128" s="454"/>
      <c r="S128" s="454"/>
      <c r="T128" s="153">
        <v>1412</v>
      </c>
      <c r="U128" s="153">
        <v>1489</v>
      </c>
      <c r="V128" s="153">
        <v>1624</v>
      </c>
      <c r="W128" s="134"/>
      <c r="X128" s="1007"/>
    </row>
    <row r="129" spans="1:24" ht="15" hidden="1" thickBot="1">
      <c r="A129" s="458"/>
      <c r="B129" s="1230"/>
      <c r="C129" s="1482"/>
      <c r="D129" s="394" t="s">
        <v>289</v>
      </c>
      <c r="E129" s="162"/>
      <c r="F129" s="162"/>
      <c r="G129" s="162"/>
      <c r="H129" s="162"/>
      <c r="I129" s="162"/>
      <c r="J129" s="721">
        <f>(J128/J126*100)</f>
        <v>42.946708463949847</v>
      </c>
      <c r="K129" s="162"/>
      <c r="L129" s="162"/>
      <c r="M129" s="162"/>
      <c r="N129" s="162"/>
      <c r="O129" s="721">
        <f>(O128/O126*100)</f>
        <v>45.293701344656753</v>
      </c>
      <c r="P129" s="163"/>
      <c r="Q129" s="163"/>
      <c r="R129" s="163"/>
      <c r="S129" s="163"/>
      <c r="T129" s="721">
        <f>(T128/T126*100)</f>
        <v>44.868128376231333</v>
      </c>
      <c r="U129" s="721">
        <f>(U128/U126*100)</f>
        <v>45.258358662613986</v>
      </c>
      <c r="V129" s="721">
        <f>(V128/V126*100)</f>
        <v>47.596717467760847</v>
      </c>
      <c r="W129" s="162"/>
      <c r="X129" s="1008"/>
    </row>
    <row r="130" spans="1:24" hidden="1">
      <c r="A130" s="458"/>
      <c r="B130" s="1230"/>
      <c r="C130" s="1483" t="s">
        <v>692</v>
      </c>
      <c r="D130" s="393" t="s">
        <v>416</v>
      </c>
      <c r="E130" s="168"/>
      <c r="F130" s="168"/>
      <c r="G130" s="168"/>
      <c r="H130" s="168"/>
      <c r="I130" s="168"/>
      <c r="J130" s="152">
        <v>887</v>
      </c>
      <c r="K130" s="149"/>
      <c r="L130" s="149"/>
      <c r="M130" s="149"/>
      <c r="N130" s="149"/>
      <c r="O130" s="152">
        <v>1549</v>
      </c>
      <c r="P130" s="152"/>
      <c r="Q130" s="152"/>
      <c r="R130" s="152"/>
      <c r="S130" s="152"/>
      <c r="T130" s="152">
        <v>2159</v>
      </c>
      <c r="U130" s="152">
        <v>2155</v>
      </c>
      <c r="V130" s="152">
        <v>1977</v>
      </c>
      <c r="W130" s="168"/>
      <c r="X130" s="998"/>
    </row>
    <row r="131" spans="1:24" hidden="1">
      <c r="A131" s="458"/>
      <c r="B131" s="1230"/>
      <c r="C131" s="1481"/>
      <c r="D131" s="238" t="s">
        <v>345</v>
      </c>
      <c r="E131" s="134"/>
      <c r="F131" s="134"/>
      <c r="G131" s="134"/>
      <c r="H131" s="134"/>
      <c r="I131" s="134"/>
      <c r="J131" s="153">
        <v>713</v>
      </c>
      <c r="K131" s="134"/>
      <c r="L131" s="134"/>
      <c r="M131" s="134"/>
      <c r="N131" s="134"/>
      <c r="O131" s="153">
        <v>1284</v>
      </c>
      <c r="P131" s="156"/>
      <c r="Q131" s="156"/>
      <c r="R131" s="156"/>
      <c r="S131" s="156"/>
      <c r="T131" s="153">
        <v>1698</v>
      </c>
      <c r="U131" s="153">
        <v>1674</v>
      </c>
      <c r="V131" s="153">
        <v>1542</v>
      </c>
      <c r="W131" s="134"/>
      <c r="X131" s="1004"/>
    </row>
    <row r="132" spans="1:24" hidden="1">
      <c r="A132" s="458"/>
      <c r="B132" s="1230"/>
      <c r="C132" s="1481"/>
      <c r="D132" s="238" t="s">
        <v>346</v>
      </c>
      <c r="E132" s="134"/>
      <c r="F132" s="134"/>
      <c r="G132" s="134"/>
      <c r="H132" s="134"/>
      <c r="I132" s="134"/>
      <c r="J132" s="153">
        <v>174</v>
      </c>
      <c r="K132" s="134"/>
      <c r="L132" s="134"/>
      <c r="M132" s="134"/>
      <c r="N132" s="134"/>
      <c r="O132" s="153">
        <v>265</v>
      </c>
      <c r="P132" s="454"/>
      <c r="Q132" s="454"/>
      <c r="R132" s="454"/>
      <c r="S132" s="454"/>
      <c r="T132" s="153">
        <v>461</v>
      </c>
      <c r="U132" s="153">
        <v>481</v>
      </c>
      <c r="V132" s="153">
        <v>435</v>
      </c>
      <c r="W132" s="134"/>
      <c r="X132" s="1007"/>
    </row>
    <row r="133" spans="1:24" ht="15" hidden="1" thickBot="1">
      <c r="A133" s="458"/>
      <c r="B133" s="1230"/>
      <c r="C133" s="1482"/>
      <c r="D133" s="394" t="s">
        <v>289</v>
      </c>
      <c r="E133" s="162"/>
      <c r="F133" s="162"/>
      <c r="G133" s="162"/>
      <c r="H133" s="162"/>
      <c r="I133" s="162"/>
      <c r="J133" s="720">
        <f>(J132/J130*100)</f>
        <v>19.616685456595263</v>
      </c>
      <c r="K133" s="162"/>
      <c r="L133" s="162"/>
      <c r="M133" s="162"/>
      <c r="N133" s="162"/>
      <c r="O133" s="720">
        <f>(O132/O130*100)</f>
        <v>17.1078114912847</v>
      </c>
      <c r="P133" s="163"/>
      <c r="Q133" s="163"/>
      <c r="R133" s="163"/>
      <c r="S133" s="163"/>
      <c r="T133" s="720">
        <f>(T132/T130*100)</f>
        <v>21.352477999073646</v>
      </c>
      <c r="U133" s="720">
        <f>(U132/U130*100)</f>
        <v>22.320185614849191</v>
      </c>
      <c r="V133" s="720">
        <f>(V132/V130*100)</f>
        <v>22.003034901365705</v>
      </c>
      <c r="W133" s="162"/>
      <c r="X133" s="1008"/>
    </row>
    <row r="134" spans="1:24" hidden="1">
      <c r="A134" s="458"/>
      <c r="B134" s="1230"/>
      <c r="C134" s="1483" t="s">
        <v>693</v>
      </c>
      <c r="D134" s="393" t="s">
        <v>416</v>
      </c>
      <c r="E134" s="168"/>
      <c r="F134" s="168"/>
      <c r="G134" s="168"/>
      <c r="H134" s="168"/>
      <c r="I134" s="168"/>
      <c r="J134" s="152">
        <v>2085</v>
      </c>
      <c r="K134" s="149"/>
      <c r="L134" s="149"/>
      <c r="M134" s="149"/>
      <c r="N134" s="149"/>
      <c r="O134" s="152">
        <v>2534</v>
      </c>
      <c r="P134" s="152"/>
      <c r="Q134" s="152"/>
      <c r="R134" s="152"/>
      <c r="S134" s="152"/>
      <c r="T134" s="152">
        <v>3899</v>
      </c>
      <c r="U134" s="152">
        <v>3475</v>
      </c>
      <c r="V134" s="152">
        <v>3503</v>
      </c>
      <c r="W134" s="168"/>
      <c r="X134" s="998"/>
    </row>
    <row r="135" spans="1:24" hidden="1">
      <c r="A135" s="458"/>
      <c r="B135" s="1230"/>
      <c r="C135" s="1481"/>
      <c r="D135" s="238" t="s">
        <v>345</v>
      </c>
      <c r="E135" s="134"/>
      <c r="F135" s="134"/>
      <c r="G135" s="134"/>
      <c r="H135" s="134"/>
      <c r="I135" s="134"/>
      <c r="J135" s="153">
        <v>1291</v>
      </c>
      <c r="K135" s="134"/>
      <c r="L135" s="134"/>
      <c r="M135" s="134"/>
      <c r="N135" s="134"/>
      <c r="O135" s="153">
        <v>1667</v>
      </c>
      <c r="P135" s="156"/>
      <c r="Q135" s="156"/>
      <c r="R135" s="156"/>
      <c r="S135" s="156"/>
      <c r="T135" s="153">
        <v>2489</v>
      </c>
      <c r="U135" s="153">
        <v>2213</v>
      </c>
      <c r="V135" s="153">
        <v>2204</v>
      </c>
      <c r="W135" s="134"/>
      <c r="X135" s="1004"/>
    </row>
    <row r="136" spans="1:24" hidden="1">
      <c r="A136" s="458"/>
      <c r="B136" s="1230"/>
      <c r="C136" s="1481"/>
      <c r="D136" s="238" t="s">
        <v>346</v>
      </c>
      <c r="E136" s="134"/>
      <c r="F136" s="134"/>
      <c r="G136" s="134"/>
      <c r="H136" s="134"/>
      <c r="I136" s="134"/>
      <c r="J136" s="153">
        <v>794</v>
      </c>
      <c r="K136" s="191"/>
      <c r="L136" s="191"/>
      <c r="M136" s="191"/>
      <c r="N136" s="191"/>
      <c r="O136" s="153">
        <v>867</v>
      </c>
      <c r="P136" s="454"/>
      <c r="Q136" s="454"/>
      <c r="R136" s="454"/>
      <c r="S136" s="454"/>
      <c r="T136" s="153">
        <v>1410</v>
      </c>
      <c r="U136" s="153">
        <v>1262</v>
      </c>
      <c r="V136" s="153">
        <v>1299</v>
      </c>
      <c r="W136" s="134"/>
      <c r="X136" s="1007"/>
    </row>
    <row r="137" spans="1:24" ht="15" hidden="1" thickBot="1">
      <c r="A137" s="458"/>
      <c r="B137" s="1230"/>
      <c r="C137" s="1482"/>
      <c r="D137" s="394" t="s">
        <v>289</v>
      </c>
      <c r="E137" s="162"/>
      <c r="F137" s="162"/>
      <c r="G137" s="162"/>
      <c r="H137" s="162"/>
      <c r="I137" s="162"/>
      <c r="J137" s="720">
        <f>(J136/J134*100)</f>
        <v>38.081534772182252</v>
      </c>
      <c r="K137" s="162"/>
      <c r="L137" s="162"/>
      <c r="M137" s="162"/>
      <c r="N137" s="162"/>
      <c r="O137" s="720">
        <f>(O136/O134*100)</f>
        <v>34.214680347277032</v>
      </c>
      <c r="P137" s="163"/>
      <c r="Q137" s="163"/>
      <c r="R137" s="163"/>
      <c r="S137" s="163"/>
      <c r="T137" s="720">
        <f>(T136/T134*100)</f>
        <v>36.163118748397025</v>
      </c>
      <c r="U137" s="720">
        <f>(U136/U134*100)</f>
        <v>36.31654676258993</v>
      </c>
      <c r="V137" s="720">
        <f>(V136/V134*100)</f>
        <v>37.082500713673994</v>
      </c>
      <c r="W137" s="162"/>
      <c r="X137" s="1008"/>
    </row>
    <row r="138" spans="1:24" hidden="1">
      <c r="A138" s="458"/>
      <c r="B138" s="1230"/>
      <c r="C138" s="1483" t="s">
        <v>689</v>
      </c>
      <c r="D138" s="393" t="s">
        <v>416</v>
      </c>
      <c r="E138" s="168"/>
      <c r="F138" s="168"/>
      <c r="G138" s="168"/>
      <c r="H138" s="168"/>
      <c r="I138" s="168"/>
      <c r="J138" s="152">
        <v>1266</v>
      </c>
      <c r="K138" s="149"/>
      <c r="L138" s="149"/>
      <c r="M138" s="149"/>
      <c r="N138" s="149"/>
      <c r="O138" s="152">
        <v>956</v>
      </c>
      <c r="P138" s="152"/>
      <c r="Q138" s="152"/>
      <c r="R138" s="152"/>
      <c r="S138" s="152"/>
      <c r="T138" s="152">
        <v>1341</v>
      </c>
      <c r="U138" s="152">
        <v>1169</v>
      </c>
      <c r="V138" s="152">
        <v>1145</v>
      </c>
      <c r="W138" s="168"/>
      <c r="X138" s="998"/>
    </row>
    <row r="139" spans="1:24" hidden="1">
      <c r="A139" s="458"/>
      <c r="B139" s="1230"/>
      <c r="C139" s="1481"/>
      <c r="D139" s="238" t="s">
        <v>345</v>
      </c>
      <c r="E139" s="134"/>
      <c r="F139" s="134"/>
      <c r="G139" s="134"/>
      <c r="H139" s="134"/>
      <c r="I139" s="134"/>
      <c r="J139" s="153">
        <v>1173</v>
      </c>
      <c r="K139" s="134"/>
      <c r="L139" s="134"/>
      <c r="M139" s="134"/>
      <c r="N139" s="134"/>
      <c r="O139" s="153">
        <v>901</v>
      </c>
      <c r="P139" s="156"/>
      <c r="Q139" s="156"/>
      <c r="R139" s="156"/>
      <c r="S139" s="156"/>
      <c r="T139" s="153">
        <v>1235</v>
      </c>
      <c r="U139" s="153">
        <v>1078</v>
      </c>
      <c r="V139" s="153">
        <v>1070</v>
      </c>
      <c r="W139" s="134"/>
      <c r="X139" s="1004"/>
    </row>
    <row r="140" spans="1:24" hidden="1">
      <c r="A140" s="458"/>
      <c r="B140" s="1230"/>
      <c r="C140" s="1481"/>
      <c r="D140" s="238" t="s">
        <v>346</v>
      </c>
      <c r="E140" s="134"/>
      <c r="F140" s="134"/>
      <c r="G140" s="134"/>
      <c r="H140" s="134"/>
      <c r="I140" s="134"/>
      <c r="J140" s="153">
        <v>93</v>
      </c>
      <c r="K140" s="191"/>
      <c r="L140" s="191"/>
      <c r="M140" s="191"/>
      <c r="N140" s="191"/>
      <c r="O140" s="153">
        <v>55</v>
      </c>
      <c r="P140" s="454"/>
      <c r="Q140" s="454"/>
      <c r="R140" s="454"/>
      <c r="S140" s="454"/>
      <c r="T140" s="153">
        <v>106</v>
      </c>
      <c r="U140" s="153">
        <v>91</v>
      </c>
      <c r="V140" s="153">
        <v>75</v>
      </c>
      <c r="W140" s="134"/>
      <c r="X140" s="1007"/>
    </row>
    <row r="141" spans="1:24" ht="15" hidden="1" thickBot="1">
      <c r="A141" s="458"/>
      <c r="B141" s="1230"/>
      <c r="C141" s="1482"/>
      <c r="D141" s="394" t="s">
        <v>289</v>
      </c>
      <c r="E141" s="162"/>
      <c r="F141" s="162"/>
      <c r="G141" s="162"/>
      <c r="H141" s="162"/>
      <c r="I141" s="162"/>
      <c r="J141" s="720">
        <f>(J140/J138*100)</f>
        <v>7.3459715639810419</v>
      </c>
      <c r="K141" s="162"/>
      <c r="L141" s="162"/>
      <c r="M141" s="162"/>
      <c r="N141" s="162"/>
      <c r="O141" s="720">
        <f>(O140/O138*100)</f>
        <v>5.7531380753138075</v>
      </c>
      <c r="P141" s="163"/>
      <c r="Q141" s="163"/>
      <c r="R141" s="163"/>
      <c r="S141" s="163"/>
      <c r="T141" s="720">
        <f>(T140/T138*100)</f>
        <v>7.9045488441461602</v>
      </c>
      <c r="U141" s="720">
        <f>(U140/U138*100)</f>
        <v>7.7844311377245514</v>
      </c>
      <c r="V141" s="720">
        <f>(V140/V138*100)</f>
        <v>6.5502183406113534</v>
      </c>
      <c r="W141" s="162"/>
      <c r="X141" s="1008"/>
    </row>
    <row r="142" spans="1:24" hidden="1">
      <c r="A142" s="458"/>
      <c r="B142" s="1230"/>
      <c r="C142" s="1483" t="s">
        <v>695</v>
      </c>
      <c r="D142" s="393" t="s">
        <v>416</v>
      </c>
      <c r="E142" s="168"/>
      <c r="F142" s="168"/>
      <c r="G142" s="168"/>
      <c r="H142" s="168"/>
      <c r="I142" s="168"/>
      <c r="J142" s="152">
        <v>1075</v>
      </c>
      <c r="K142" s="149"/>
      <c r="L142" s="149"/>
      <c r="M142" s="149"/>
      <c r="N142" s="149"/>
      <c r="O142" s="152">
        <v>1374</v>
      </c>
      <c r="P142" s="152"/>
      <c r="Q142" s="152"/>
      <c r="R142" s="152"/>
      <c r="S142" s="152"/>
      <c r="T142" s="152">
        <v>2072</v>
      </c>
      <c r="U142" s="152">
        <v>1842</v>
      </c>
      <c r="V142" s="152">
        <v>1542</v>
      </c>
      <c r="W142" s="168"/>
      <c r="X142" s="998"/>
    </row>
    <row r="143" spans="1:24" hidden="1">
      <c r="A143" s="458"/>
      <c r="B143" s="1230"/>
      <c r="C143" s="1481"/>
      <c r="D143" s="238" t="s">
        <v>345</v>
      </c>
      <c r="E143" s="134"/>
      <c r="F143" s="134"/>
      <c r="G143" s="134"/>
      <c r="H143" s="134"/>
      <c r="I143" s="134"/>
      <c r="J143" s="153">
        <v>453</v>
      </c>
      <c r="K143" s="134"/>
      <c r="L143" s="134"/>
      <c r="M143" s="134"/>
      <c r="N143" s="134"/>
      <c r="O143" s="153">
        <v>542</v>
      </c>
      <c r="P143" s="156"/>
      <c r="Q143" s="156"/>
      <c r="R143" s="156"/>
      <c r="S143" s="156"/>
      <c r="T143" s="153">
        <v>844</v>
      </c>
      <c r="U143" s="153">
        <v>745</v>
      </c>
      <c r="V143" s="153">
        <v>647</v>
      </c>
      <c r="W143" s="134"/>
      <c r="X143" s="1004"/>
    </row>
    <row r="144" spans="1:24" hidden="1">
      <c r="A144" s="458"/>
      <c r="B144" s="1230"/>
      <c r="C144" s="1481"/>
      <c r="D144" s="238" t="s">
        <v>346</v>
      </c>
      <c r="E144" s="134"/>
      <c r="F144" s="134"/>
      <c r="G144" s="134"/>
      <c r="H144" s="134"/>
      <c r="I144" s="134"/>
      <c r="J144" s="153">
        <v>622</v>
      </c>
      <c r="K144" s="191"/>
      <c r="L144" s="191"/>
      <c r="M144" s="191"/>
      <c r="N144" s="191"/>
      <c r="O144" s="153">
        <v>832</v>
      </c>
      <c r="P144" s="454"/>
      <c r="Q144" s="454"/>
      <c r="R144" s="454"/>
      <c r="S144" s="454"/>
      <c r="T144" s="153">
        <v>1228</v>
      </c>
      <c r="U144" s="153">
        <v>1097</v>
      </c>
      <c r="V144" s="153">
        <v>895</v>
      </c>
      <c r="W144" s="134"/>
      <c r="X144" s="1007"/>
    </row>
    <row r="145" spans="1:24" ht="15" hidden="1" thickBot="1">
      <c r="A145" s="458"/>
      <c r="B145" s="1230"/>
      <c r="C145" s="1482"/>
      <c r="D145" s="394" t="s">
        <v>289</v>
      </c>
      <c r="E145" s="162"/>
      <c r="F145" s="162"/>
      <c r="G145" s="162"/>
      <c r="H145" s="162"/>
      <c r="I145" s="162"/>
      <c r="J145" s="721">
        <f>(J144/J142*100)</f>
        <v>57.860465116279073</v>
      </c>
      <c r="K145" s="162"/>
      <c r="L145" s="162"/>
      <c r="M145" s="162"/>
      <c r="N145" s="162"/>
      <c r="O145" s="721">
        <f>(O144/O142*100)</f>
        <v>60.55312954876274</v>
      </c>
      <c r="P145" s="163"/>
      <c r="Q145" s="163"/>
      <c r="R145" s="163"/>
      <c r="S145" s="163"/>
      <c r="T145" s="721">
        <f>(T144/T142*100)</f>
        <v>59.266409266409269</v>
      </c>
      <c r="U145" s="721">
        <f>(U144/U142*100)</f>
        <v>59.554831704668842</v>
      </c>
      <c r="V145" s="721">
        <f>(V144/V142*100)</f>
        <v>58.041504539559021</v>
      </c>
      <c r="W145" s="162"/>
      <c r="X145" s="1008"/>
    </row>
    <row r="146" spans="1:24" hidden="1">
      <c r="A146" s="458"/>
      <c r="B146" s="1230"/>
      <c r="C146" s="1483" t="s">
        <v>690</v>
      </c>
      <c r="D146" s="393" t="s">
        <v>416</v>
      </c>
      <c r="E146" s="168"/>
      <c r="F146" s="168"/>
      <c r="G146" s="168"/>
      <c r="H146" s="168"/>
      <c r="I146" s="168"/>
      <c r="J146" s="152">
        <v>833</v>
      </c>
      <c r="K146" s="149"/>
      <c r="L146" s="149"/>
      <c r="M146" s="149"/>
      <c r="N146" s="149"/>
      <c r="O146" s="152">
        <v>1085</v>
      </c>
      <c r="P146" s="152"/>
      <c r="Q146" s="152"/>
      <c r="R146" s="152"/>
      <c r="S146" s="152"/>
      <c r="T146" s="152">
        <v>1327</v>
      </c>
      <c r="U146" s="152">
        <v>1330</v>
      </c>
      <c r="V146" s="152">
        <v>1408</v>
      </c>
      <c r="W146" s="168"/>
      <c r="X146" s="998"/>
    </row>
    <row r="147" spans="1:24" hidden="1">
      <c r="A147" s="458"/>
      <c r="B147" s="1230"/>
      <c r="C147" s="1481"/>
      <c r="D147" s="238" t="s">
        <v>345</v>
      </c>
      <c r="E147" s="134"/>
      <c r="F147" s="134"/>
      <c r="G147" s="134"/>
      <c r="H147" s="134"/>
      <c r="I147" s="134"/>
      <c r="J147" s="153">
        <v>792</v>
      </c>
      <c r="K147" s="134"/>
      <c r="L147" s="134"/>
      <c r="M147" s="134"/>
      <c r="N147" s="134"/>
      <c r="O147" s="153">
        <v>1044</v>
      </c>
      <c r="P147" s="156"/>
      <c r="Q147" s="156"/>
      <c r="R147" s="156"/>
      <c r="S147" s="156"/>
      <c r="T147" s="153">
        <v>1250</v>
      </c>
      <c r="U147" s="153">
        <v>1260</v>
      </c>
      <c r="V147" s="153">
        <v>1328</v>
      </c>
      <c r="W147" s="134"/>
      <c r="X147" s="1004"/>
    </row>
    <row r="148" spans="1:24" hidden="1">
      <c r="A148" s="458"/>
      <c r="B148" s="1230"/>
      <c r="C148" s="1481"/>
      <c r="D148" s="238" t="s">
        <v>346</v>
      </c>
      <c r="E148" s="134"/>
      <c r="F148" s="134"/>
      <c r="G148" s="134"/>
      <c r="H148" s="134"/>
      <c r="I148" s="134"/>
      <c r="J148" s="153">
        <v>41</v>
      </c>
      <c r="K148" s="191"/>
      <c r="L148" s="191"/>
      <c r="M148" s="191"/>
      <c r="N148" s="191"/>
      <c r="O148" s="153">
        <v>41</v>
      </c>
      <c r="P148" s="454"/>
      <c r="Q148" s="454"/>
      <c r="R148" s="454"/>
      <c r="S148" s="454"/>
      <c r="T148" s="153">
        <v>77</v>
      </c>
      <c r="U148" s="153">
        <v>70</v>
      </c>
      <c r="V148" s="153">
        <v>80</v>
      </c>
      <c r="W148" s="134"/>
      <c r="X148" s="1007"/>
    </row>
    <row r="149" spans="1:24" ht="15" hidden="1" thickBot="1">
      <c r="A149" s="458"/>
      <c r="B149" s="1230"/>
      <c r="C149" s="1482"/>
      <c r="D149" s="394" t="s">
        <v>289</v>
      </c>
      <c r="E149" s="162"/>
      <c r="F149" s="162"/>
      <c r="G149" s="162"/>
      <c r="H149" s="162"/>
      <c r="I149" s="162"/>
      <c r="J149" s="720">
        <f>(J148/J146*100)</f>
        <v>4.9219687875150058</v>
      </c>
      <c r="K149" s="162"/>
      <c r="L149" s="162"/>
      <c r="M149" s="162"/>
      <c r="N149" s="162"/>
      <c r="O149" s="720">
        <f>(O148/O146*100)</f>
        <v>3.778801843317972</v>
      </c>
      <c r="P149" s="163"/>
      <c r="Q149" s="163"/>
      <c r="R149" s="163"/>
      <c r="S149" s="163"/>
      <c r="T149" s="720">
        <f>(T148/T146*100)</f>
        <v>5.8025621703089678</v>
      </c>
      <c r="U149" s="720">
        <f>(U148/U146*100)</f>
        <v>5.2631578947368416</v>
      </c>
      <c r="V149" s="720">
        <f>(V148/V146*100)</f>
        <v>5.6818181818181817</v>
      </c>
      <c r="W149" s="162"/>
      <c r="X149" s="1008"/>
    </row>
    <row r="150" spans="1:24" hidden="1">
      <c r="A150" s="458"/>
      <c r="B150" s="1230"/>
      <c r="C150" s="1483" t="s">
        <v>694</v>
      </c>
      <c r="D150" s="393" t="s">
        <v>416</v>
      </c>
      <c r="E150" s="168"/>
      <c r="F150" s="168"/>
      <c r="G150" s="168"/>
      <c r="H150" s="168"/>
      <c r="I150" s="168"/>
      <c r="J150" s="152">
        <v>606</v>
      </c>
      <c r="K150" s="149"/>
      <c r="L150" s="149"/>
      <c r="M150" s="149"/>
      <c r="N150" s="149"/>
      <c r="O150" s="152">
        <v>498</v>
      </c>
      <c r="P150" s="152"/>
      <c r="Q150" s="152"/>
      <c r="R150" s="152"/>
      <c r="S150" s="152"/>
      <c r="T150" s="152">
        <v>989</v>
      </c>
      <c r="U150" s="152">
        <v>984</v>
      </c>
      <c r="V150" s="152">
        <v>990</v>
      </c>
      <c r="W150" s="168"/>
      <c r="X150" s="998"/>
    </row>
    <row r="151" spans="1:24" hidden="1">
      <c r="A151" s="458"/>
      <c r="B151" s="1230"/>
      <c r="C151" s="1481"/>
      <c r="D151" s="238" t="s">
        <v>345</v>
      </c>
      <c r="E151" s="134"/>
      <c r="F151" s="134"/>
      <c r="G151" s="134"/>
      <c r="H151" s="134"/>
      <c r="I151" s="134"/>
      <c r="J151" s="153">
        <v>29</v>
      </c>
      <c r="K151" s="134"/>
      <c r="L151" s="134"/>
      <c r="M151" s="134"/>
      <c r="N151" s="134"/>
      <c r="O151" s="153">
        <v>26</v>
      </c>
      <c r="P151" s="156"/>
      <c r="Q151" s="156"/>
      <c r="R151" s="156"/>
      <c r="S151" s="156"/>
      <c r="T151" s="153">
        <v>69</v>
      </c>
      <c r="U151" s="153">
        <v>64</v>
      </c>
      <c r="V151" s="153">
        <v>65</v>
      </c>
      <c r="W151" s="134"/>
      <c r="X151" s="1004"/>
    </row>
    <row r="152" spans="1:24" hidden="1">
      <c r="A152" s="458"/>
      <c r="B152" s="1230"/>
      <c r="C152" s="1481"/>
      <c r="D152" s="238" t="s">
        <v>346</v>
      </c>
      <c r="E152" s="134"/>
      <c r="F152" s="134"/>
      <c r="G152" s="134"/>
      <c r="H152" s="134"/>
      <c r="I152" s="134"/>
      <c r="J152" s="153">
        <v>577</v>
      </c>
      <c r="K152" s="191"/>
      <c r="L152" s="191"/>
      <c r="M152" s="191"/>
      <c r="N152" s="191"/>
      <c r="O152" s="153">
        <v>472</v>
      </c>
      <c r="P152" s="454"/>
      <c r="Q152" s="454"/>
      <c r="R152" s="454"/>
      <c r="S152" s="454"/>
      <c r="T152" s="153">
        <v>920</v>
      </c>
      <c r="U152" s="153">
        <v>920</v>
      </c>
      <c r="V152" s="153">
        <v>925</v>
      </c>
      <c r="W152" s="134"/>
      <c r="X152" s="1007"/>
    </row>
    <row r="153" spans="1:24" ht="15" hidden="1" thickBot="1">
      <c r="A153" s="458"/>
      <c r="B153" s="1230"/>
      <c r="C153" s="1482"/>
      <c r="D153" s="394" t="s">
        <v>289</v>
      </c>
      <c r="E153" s="162"/>
      <c r="F153" s="162"/>
      <c r="G153" s="162"/>
      <c r="H153" s="162"/>
      <c r="I153" s="162"/>
      <c r="J153" s="723">
        <f>(J152/J150*100)</f>
        <v>95.21452145214522</v>
      </c>
      <c r="K153" s="162"/>
      <c r="L153" s="162"/>
      <c r="M153" s="162"/>
      <c r="N153" s="162"/>
      <c r="O153" s="723">
        <f>(O152/O150*100)</f>
        <v>94.779116465863453</v>
      </c>
      <c r="P153" s="163"/>
      <c r="Q153" s="163"/>
      <c r="R153" s="163"/>
      <c r="S153" s="163"/>
      <c r="T153" s="723">
        <f>(T152/T150*100)</f>
        <v>93.023255813953483</v>
      </c>
      <c r="U153" s="723">
        <f>(U152/U150*100)</f>
        <v>93.495934959349597</v>
      </c>
      <c r="V153" s="723">
        <f>(V152/V150*100)</f>
        <v>93.434343434343432</v>
      </c>
      <c r="W153" s="162"/>
      <c r="X153" s="1008"/>
    </row>
    <row r="154" spans="1:24" hidden="1">
      <c r="A154" s="458"/>
      <c r="B154" s="1230"/>
      <c r="C154" s="1483" t="s">
        <v>700</v>
      </c>
      <c r="D154" s="393" t="s">
        <v>416</v>
      </c>
      <c r="E154" s="168"/>
      <c r="F154" s="168"/>
      <c r="G154" s="168"/>
      <c r="H154" s="168"/>
      <c r="I154" s="168"/>
      <c r="J154" s="152">
        <v>368</v>
      </c>
      <c r="K154" s="149"/>
      <c r="L154" s="149"/>
      <c r="M154" s="149"/>
      <c r="N154" s="149"/>
      <c r="O154" s="152">
        <v>504</v>
      </c>
      <c r="P154" s="152"/>
      <c r="Q154" s="152"/>
      <c r="R154" s="152"/>
      <c r="S154" s="152"/>
      <c r="T154" s="152">
        <v>649</v>
      </c>
      <c r="U154" s="152">
        <v>577</v>
      </c>
      <c r="V154" s="152">
        <v>581</v>
      </c>
      <c r="W154" s="168"/>
      <c r="X154" s="998"/>
    </row>
    <row r="155" spans="1:24" hidden="1">
      <c r="A155" s="458"/>
      <c r="B155" s="1230"/>
      <c r="C155" s="1481"/>
      <c r="D155" s="238" t="s">
        <v>345</v>
      </c>
      <c r="E155" s="134"/>
      <c r="F155" s="134"/>
      <c r="G155" s="134"/>
      <c r="H155" s="134"/>
      <c r="I155" s="134"/>
      <c r="J155" s="153">
        <v>166</v>
      </c>
      <c r="K155" s="134"/>
      <c r="L155" s="134"/>
      <c r="M155" s="134"/>
      <c r="N155" s="134"/>
      <c r="O155" s="153">
        <v>243</v>
      </c>
      <c r="P155" s="156"/>
      <c r="Q155" s="156"/>
      <c r="R155" s="156"/>
      <c r="S155" s="156"/>
      <c r="T155" s="153">
        <v>287</v>
      </c>
      <c r="U155" s="153">
        <v>234</v>
      </c>
      <c r="V155" s="153">
        <v>237</v>
      </c>
      <c r="W155" s="134"/>
      <c r="X155" s="1004"/>
    </row>
    <row r="156" spans="1:24" hidden="1">
      <c r="A156" s="458"/>
      <c r="B156" s="1230"/>
      <c r="C156" s="1481"/>
      <c r="D156" s="238" t="s">
        <v>346</v>
      </c>
      <c r="E156" s="134"/>
      <c r="F156" s="134"/>
      <c r="G156" s="134"/>
      <c r="H156" s="134"/>
      <c r="I156" s="134"/>
      <c r="J156" s="153">
        <v>202</v>
      </c>
      <c r="K156" s="191"/>
      <c r="L156" s="191"/>
      <c r="M156" s="191"/>
      <c r="N156" s="191"/>
      <c r="O156" s="153">
        <v>261</v>
      </c>
      <c r="P156" s="454"/>
      <c r="Q156" s="454"/>
      <c r="R156" s="454"/>
      <c r="S156" s="454"/>
      <c r="T156" s="153">
        <v>362</v>
      </c>
      <c r="U156" s="153">
        <v>343</v>
      </c>
      <c r="V156" s="153">
        <v>344</v>
      </c>
      <c r="W156" s="134"/>
      <c r="X156" s="1007"/>
    </row>
    <row r="157" spans="1:24" ht="15" hidden="1" thickBot="1">
      <c r="A157" s="458"/>
      <c r="B157" s="1230"/>
      <c r="C157" s="1482"/>
      <c r="D157" s="394" t="s">
        <v>289</v>
      </c>
      <c r="E157" s="162"/>
      <c r="F157" s="162"/>
      <c r="G157" s="162"/>
      <c r="H157" s="162"/>
      <c r="I157" s="162"/>
      <c r="J157" s="721">
        <f>(J156/J154*100)</f>
        <v>54.891304347826086</v>
      </c>
      <c r="K157" s="162"/>
      <c r="L157" s="162"/>
      <c r="M157" s="162"/>
      <c r="N157" s="162"/>
      <c r="O157" s="721">
        <f>(O156/O154*100)</f>
        <v>51.785714285714292</v>
      </c>
      <c r="P157" s="163"/>
      <c r="Q157" s="163"/>
      <c r="R157" s="163"/>
      <c r="S157" s="163"/>
      <c r="T157" s="721">
        <f>(T156/T154*100)</f>
        <v>55.778120184899848</v>
      </c>
      <c r="U157" s="721">
        <f>(U156/U154*100)</f>
        <v>59.44540727902946</v>
      </c>
      <c r="V157" s="721">
        <f>(V156/V154*100)</f>
        <v>59.20826161790017</v>
      </c>
      <c r="W157" s="162"/>
      <c r="X157" s="1008"/>
    </row>
    <row r="158" spans="1:24" hidden="1">
      <c r="A158" s="458"/>
      <c r="B158" s="1230"/>
      <c r="C158" s="1483" t="s">
        <v>698</v>
      </c>
      <c r="D158" s="393" t="s">
        <v>416</v>
      </c>
      <c r="E158" s="168"/>
      <c r="F158" s="168"/>
      <c r="G158" s="168"/>
      <c r="H158" s="168"/>
      <c r="I158" s="168"/>
      <c r="J158" s="152">
        <v>244</v>
      </c>
      <c r="K158" s="149"/>
      <c r="L158" s="149"/>
      <c r="M158" s="149"/>
      <c r="N158" s="149"/>
      <c r="O158" s="152">
        <v>388</v>
      </c>
      <c r="P158" s="152"/>
      <c r="Q158" s="152"/>
      <c r="R158" s="152"/>
      <c r="S158" s="152"/>
      <c r="T158" s="152">
        <v>477</v>
      </c>
      <c r="U158" s="152">
        <v>453</v>
      </c>
      <c r="V158" s="152">
        <v>421</v>
      </c>
      <c r="W158" s="168"/>
      <c r="X158" s="998"/>
    </row>
    <row r="159" spans="1:24" hidden="1">
      <c r="A159" s="458"/>
      <c r="B159" s="1230"/>
      <c r="C159" s="1481"/>
      <c r="D159" s="238" t="s">
        <v>345</v>
      </c>
      <c r="E159" s="134"/>
      <c r="F159" s="134"/>
      <c r="G159" s="134"/>
      <c r="H159" s="134"/>
      <c r="I159" s="134"/>
      <c r="J159" s="153">
        <v>225</v>
      </c>
      <c r="K159" s="134"/>
      <c r="L159" s="134"/>
      <c r="M159" s="134"/>
      <c r="N159" s="134"/>
      <c r="O159" s="153">
        <v>365</v>
      </c>
      <c r="P159" s="156"/>
      <c r="Q159" s="156"/>
      <c r="R159" s="156"/>
      <c r="S159" s="156"/>
      <c r="T159" s="153">
        <v>440</v>
      </c>
      <c r="U159" s="153">
        <v>415</v>
      </c>
      <c r="V159" s="153">
        <v>381</v>
      </c>
      <c r="W159" s="134"/>
      <c r="X159" s="1004"/>
    </row>
    <row r="160" spans="1:24" hidden="1">
      <c r="A160" s="458"/>
      <c r="B160" s="1230"/>
      <c r="C160" s="1481"/>
      <c r="D160" s="238" t="s">
        <v>346</v>
      </c>
      <c r="E160" s="134"/>
      <c r="F160" s="134"/>
      <c r="G160" s="134"/>
      <c r="H160" s="134"/>
      <c r="I160" s="134"/>
      <c r="J160" s="153">
        <v>19</v>
      </c>
      <c r="K160" s="191"/>
      <c r="L160" s="191"/>
      <c r="M160" s="191"/>
      <c r="N160" s="191"/>
      <c r="O160" s="153">
        <v>23</v>
      </c>
      <c r="P160" s="454"/>
      <c r="Q160" s="454"/>
      <c r="R160" s="454"/>
      <c r="S160" s="454"/>
      <c r="T160" s="153">
        <v>37</v>
      </c>
      <c r="U160" s="153">
        <v>38</v>
      </c>
      <c r="V160" s="153">
        <v>40</v>
      </c>
      <c r="W160" s="134"/>
      <c r="X160" s="1007"/>
    </row>
    <row r="161" spans="1:24" ht="15" hidden="1" thickBot="1">
      <c r="A161" s="458"/>
      <c r="B161" s="1230"/>
      <c r="C161" s="1482"/>
      <c r="D161" s="394" t="s">
        <v>289</v>
      </c>
      <c r="E161" s="162"/>
      <c r="F161" s="162"/>
      <c r="G161" s="162"/>
      <c r="H161" s="162"/>
      <c r="I161" s="162"/>
      <c r="J161" s="720">
        <f>(J160/J158*100)</f>
        <v>7.7868852459016393</v>
      </c>
      <c r="K161" s="162"/>
      <c r="L161" s="162"/>
      <c r="M161" s="162"/>
      <c r="N161" s="162"/>
      <c r="O161" s="720">
        <f>(O160/O158*100)</f>
        <v>5.9278350515463911</v>
      </c>
      <c r="P161" s="163"/>
      <c r="Q161" s="163"/>
      <c r="R161" s="163"/>
      <c r="S161" s="163"/>
      <c r="T161" s="720">
        <f>(T160/T158*100)</f>
        <v>7.7568134171907763</v>
      </c>
      <c r="U161" s="720">
        <f>(U160/U158*100)</f>
        <v>8.3885209713024285</v>
      </c>
      <c r="V161" s="720">
        <f>(V160/V158*100)</f>
        <v>9.5011876484560567</v>
      </c>
      <c r="W161" s="162"/>
      <c r="X161" s="1008"/>
    </row>
    <row r="162" spans="1:24" hidden="1">
      <c r="A162" s="458"/>
      <c r="B162" s="1230"/>
      <c r="C162" s="1483" t="s">
        <v>709</v>
      </c>
      <c r="D162" s="393" t="s">
        <v>416</v>
      </c>
      <c r="E162" s="168"/>
      <c r="F162" s="168"/>
      <c r="G162" s="168"/>
      <c r="H162" s="168"/>
      <c r="I162" s="168"/>
      <c r="J162" s="152"/>
      <c r="K162" s="149"/>
      <c r="L162" s="149"/>
      <c r="M162" s="149"/>
      <c r="N162" s="149"/>
      <c r="O162" s="152">
        <v>248</v>
      </c>
      <c r="P162" s="152"/>
      <c r="Q162" s="152"/>
      <c r="R162" s="152"/>
      <c r="S162" s="152"/>
      <c r="T162" s="152">
        <v>277</v>
      </c>
      <c r="U162" s="152">
        <v>268</v>
      </c>
      <c r="V162" s="293">
        <v>319</v>
      </c>
      <c r="W162" s="168"/>
      <c r="X162" s="998"/>
    </row>
    <row r="163" spans="1:24" hidden="1">
      <c r="A163" s="458"/>
      <c r="B163" s="1230"/>
      <c r="C163" s="1481"/>
      <c r="D163" s="238" t="s">
        <v>345</v>
      </c>
      <c r="E163" s="134"/>
      <c r="F163" s="134"/>
      <c r="G163" s="134"/>
      <c r="H163" s="134"/>
      <c r="I163" s="134"/>
      <c r="J163" s="153"/>
      <c r="K163" s="134"/>
      <c r="L163" s="134"/>
      <c r="M163" s="134"/>
      <c r="N163" s="134"/>
      <c r="O163" s="153">
        <v>163</v>
      </c>
      <c r="P163" s="156"/>
      <c r="Q163" s="156"/>
      <c r="R163" s="156"/>
      <c r="S163" s="156"/>
      <c r="T163" s="153">
        <v>187</v>
      </c>
      <c r="U163" s="153">
        <v>175</v>
      </c>
      <c r="V163" s="153">
        <v>192</v>
      </c>
      <c r="W163" s="134"/>
      <c r="X163" s="1004"/>
    </row>
    <row r="164" spans="1:24" hidden="1">
      <c r="A164" s="458"/>
      <c r="B164" s="1230"/>
      <c r="C164" s="1481"/>
      <c r="D164" s="238" t="s">
        <v>346</v>
      </c>
      <c r="E164" s="134"/>
      <c r="F164" s="134"/>
      <c r="G164" s="134"/>
      <c r="H164" s="134"/>
      <c r="I164" s="134"/>
      <c r="J164" s="153"/>
      <c r="K164" s="191"/>
      <c r="L164" s="191"/>
      <c r="M164" s="191"/>
      <c r="N164" s="191"/>
      <c r="O164" s="153">
        <v>85</v>
      </c>
      <c r="P164" s="454"/>
      <c r="Q164" s="454"/>
      <c r="R164" s="454"/>
      <c r="S164" s="454"/>
      <c r="T164" s="153">
        <v>90</v>
      </c>
      <c r="U164" s="153">
        <v>93</v>
      </c>
      <c r="V164" s="153">
        <v>127</v>
      </c>
      <c r="W164" s="134"/>
      <c r="X164" s="1007"/>
    </row>
    <row r="165" spans="1:24" ht="15" hidden="1" thickBot="1">
      <c r="A165" s="458"/>
      <c r="B165" s="1230"/>
      <c r="C165" s="1484"/>
      <c r="D165" s="455" t="s">
        <v>289</v>
      </c>
      <c r="E165" s="191"/>
      <c r="F165" s="191"/>
      <c r="G165" s="191"/>
      <c r="H165" s="191"/>
      <c r="I165" s="191"/>
      <c r="J165" s="163"/>
      <c r="K165" s="162"/>
      <c r="L165" s="162"/>
      <c r="M165" s="162"/>
      <c r="N165" s="162"/>
      <c r="O165" s="720">
        <f>(O164/O162*100)</f>
        <v>34.274193548387096</v>
      </c>
      <c r="P165" s="163"/>
      <c r="Q165" s="163"/>
      <c r="R165" s="163"/>
      <c r="S165" s="163"/>
      <c r="T165" s="720">
        <f>(T164/T162*100)</f>
        <v>32.490974729241877</v>
      </c>
      <c r="U165" s="720">
        <f>(U164/U162*100)</f>
        <v>34.701492537313435</v>
      </c>
      <c r="V165" s="720">
        <f>(V164/V162*100)</f>
        <v>39.811912225705335</v>
      </c>
      <c r="W165" s="191"/>
      <c r="X165" s="1008"/>
    </row>
    <row r="166" spans="1:24" hidden="1">
      <c r="A166" s="458"/>
      <c r="B166" s="1230"/>
      <c r="C166" s="1483" t="s">
        <v>697</v>
      </c>
      <c r="D166" s="401" t="s">
        <v>416</v>
      </c>
      <c r="E166" s="168"/>
      <c r="F166" s="168"/>
      <c r="G166" s="168"/>
      <c r="H166" s="168"/>
      <c r="I166" s="168"/>
      <c r="J166" s="152"/>
      <c r="K166" s="149"/>
      <c r="L166" s="149"/>
      <c r="M166" s="149"/>
      <c r="N166" s="149"/>
      <c r="O166" s="152">
        <v>457</v>
      </c>
      <c r="P166" s="152"/>
      <c r="Q166" s="152"/>
      <c r="R166" s="152"/>
      <c r="S166" s="152"/>
      <c r="T166" s="152">
        <v>651</v>
      </c>
      <c r="U166" s="152">
        <v>626</v>
      </c>
      <c r="V166" s="293">
        <v>628</v>
      </c>
      <c r="W166" s="168"/>
      <c r="X166" s="998"/>
    </row>
    <row r="167" spans="1:24" hidden="1">
      <c r="A167" s="458"/>
      <c r="B167" s="1230"/>
      <c r="C167" s="1481"/>
      <c r="D167" s="238" t="s">
        <v>345</v>
      </c>
      <c r="E167" s="134"/>
      <c r="F167" s="134"/>
      <c r="G167" s="134"/>
      <c r="H167" s="134"/>
      <c r="I167" s="134"/>
      <c r="J167" s="156"/>
      <c r="K167" s="134"/>
      <c r="L167" s="134"/>
      <c r="M167" s="134"/>
      <c r="N167" s="134"/>
      <c r="O167" s="153">
        <v>241</v>
      </c>
      <c r="P167" s="156"/>
      <c r="Q167" s="156"/>
      <c r="R167" s="156"/>
      <c r="S167" s="156"/>
      <c r="T167" s="153">
        <v>325</v>
      </c>
      <c r="U167" s="153">
        <v>296</v>
      </c>
      <c r="V167" s="153">
        <v>276</v>
      </c>
      <c r="W167" s="134"/>
      <c r="X167" s="1004"/>
    </row>
    <row r="168" spans="1:24" hidden="1">
      <c r="A168" s="458"/>
      <c r="B168" s="1230"/>
      <c r="C168" s="1481"/>
      <c r="D168" s="238" t="s">
        <v>346</v>
      </c>
      <c r="E168" s="134"/>
      <c r="F168" s="134"/>
      <c r="G168" s="134"/>
      <c r="H168" s="134"/>
      <c r="I168" s="134"/>
      <c r="J168" s="454"/>
      <c r="K168" s="191"/>
      <c r="L168" s="191"/>
      <c r="M168" s="191"/>
      <c r="N168" s="191"/>
      <c r="O168" s="153">
        <v>216</v>
      </c>
      <c r="P168" s="454"/>
      <c r="Q168" s="454"/>
      <c r="R168" s="454"/>
      <c r="S168" s="454"/>
      <c r="T168" s="153">
        <v>326</v>
      </c>
      <c r="U168" s="153">
        <v>330</v>
      </c>
      <c r="V168" s="153">
        <v>325</v>
      </c>
      <c r="W168" s="134"/>
      <c r="X168" s="1007"/>
    </row>
    <row r="169" spans="1:24" ht="15" hidden="1" thickBot="1">
      <c r="A169" s="458"/>
      <c r="B169" s="1230"/>
      <c r="C169" s="1482"/>
      <c r="D169" s="394" t="s">
        <v>289</v>
      </c>
      <c r="E169" s="162"/>
      <c r="F169" s="162"/>
      <c r="G169" s="162"/>
      <c r="H169" s="162"/>
      <c r="I169" s="162"/>
      <c r="J169" s="163"/>
      <c r="K169" s="162"/>
      <c r="L169" s="162"/>
      <c r="M169" s="162"/>
      <c r="N169" s="162"/>
      <c r="O169" s="721">
        <f>(O168/O166*100)</f>
        <v>47.264770240700223</v>
      </c>
      <c r="P169" s="163"/>
      <c r="Q169" s="163"/>
      <c r="R169" s="163"/>
      <c r="S169" s="163"/>
      <c r="T169" s="721">
        <f>(T168/T166*100)</f>
        <v>50.076804915514593</v>
      </c>
      <c r="U169" s="721">
        <f>(U168/U166*100)</f>
        <v>52.715654952076676</v>
      </c>
      <c r="V169" s="721">
        <f>(V168/V166*100)</f>
        <v>51.751592356687901</v>
      </c>
      <c r="W169" s="162"/>
      <c r="X169" s="1008"/>
    </row>
    <row r="170" spans="1:24" hidden="1">
      <c r="A170" s="458"/>
      <c r="B170" s="1230"/>
      <c r="C170" s="1483" t="s">
        <v>701</v>
      </c>
      <c r="D170" s="401" t="s">
        <v>416</v>
      </c>
      <c r="E170" s="168"/>
      <c r="F170" s="168"/>
      <c r="G170" s="168"/>
      <c r="H170" s="168"/>
      <c r="I170" s="168"/>
      <c r="J170" s="152">
        <v>141</v>
      </c>
      <c r="K170" s="149"/>
      <c r="L170" s="149"/>
      <c r="M170" s="149"/>
      <c r="N170" s="149"/>
      <c r="O170" s="152">
        <v>201</v>
      </c>
      <c r="P170" s="152"/>
      <c r="Q170" s="152"/>
      <c r="R170" s="152"/>
      <c r="S170" s="152"/>
      <c r="T170" s="152"/>
      <c r="U170" s="152">
        <v>441</v>
      </c>
      <c r="V170" s="152"/>
      <c r="W170" s="168"/>
      <c r="X170" s="998"/>
    </row>
    <row r="171" spans="1:24" hidden="1">
      <c r="A171" s="458"/>
      <c r="B171" s="1230"/>
      <c r="C171" s="1481"/>
      <c r="D171" s="238" t="s">
        <v>345</v>
      </c>
      <c r="E171" s="134"/>
      <c r="F171" s="134"/>
      <c r="G171" s="134"/>
      <c r="H171" s="134"/>
      <c r="I171" s="134"/>
      <c r="J171" s="153">
        <v>14</v>
      </c>
      <c r="K171" s="134"/>
      <c r="L171" s="134"/>
      <c r="M171" s="134"/>
      <c r="N171" s="134"/>
      <c r="O171" s="153">
        <v>26</v>
      </c>
      <c r="P171" s="156"/>
      <c r="Q171" s="156"/>
      <c r="R171" s="156"/>
      <c r="S171" s="156"/>
      <c r="T171" s="156"/>
      <c r="U171" s="153">
        <v>95</v>
      </c>
      <c r="V171" s="156"/>
      <c r="W171" s="134"/>
      <c r="X171" s="1004"/>
    </row>
    <row r="172" spans="1:24" hidden="1">
      <c r="A172" s="458"/>
      <c r="B172" s="1230"/>
      <c r="C172" s="1481"/>
      <c r="D172" s="238" t="s">
        <v>346</v>
      </c>
      <c r="E172" s="134"/>
      <c r="F172" s="134"/>
      <c r="G172" s="134"/>
      <c r="H172" s="134"/>
      <c r="I172" s="134"/>
      <c r="J172" s="153">
        <v>127</v>
      </c>
      <c r="K172" s="191"/>
      <c r="L172" s="191"/>
      <c r="M172" s="191"/>
      <c r="N172" s="191"/>
      <c r="O172" s="153">
        <v>175</v>
      </c>
      <c r="P172" s="454"/>
      <c r="Q172" s="454"/>
      <c r="R172" s="454"/>
      <c r="S172" s="454"/>
      <c r="T172" s="454"/>
      <c r="U172" s="153">
        <v>346</v>
      </c>
      <c r="V172" s="454"/>
      <c r="W172" s="134"/>
      <c r="X172" s="1007"/>
    </row>
    <row r="173" spans="1:24" ht="15" hidden="1" thickBot="1">
      <c r="A173" s="458"/>
      <c r="B173" s="1230"/>
      <c r="C173" s="1482"/>
      <c r="D173" s="394" t="s">
        <v>289</v>
      </c>
      <c r="E173" s="162"/>
      <c r="F173" s="162"/>
      <c r="G173" s="162"/>
      <c r="H173" s="162"/>
      <c r="I173" s="162"/>
      <c r="J173" s="723">
        <f>(J172/J170*100)</f>
        <v>90.070921985815602</v>
      </c>
      <c r="K173" s="162"/>
      <c r="L173" s="162"/>
      <c r="M173" s="162"/>
      <c r="N173" s="162"/>
      <c r="O173" s="723">
        <f>(O172/O170*100)</f>
        <v>87.06467661691542</v>
      </c>
      <c r="P173" s="163"/>
      <c r="Q173" s="163"/>
      <c r="R173" s="163"/>
      <c r="S173" s="163"/>
      <c r="T173" s="163"/>
      <c r="U173" s="723">
        <f>(U172/U170*100)</f>
        <v>78.458049886621311</v>
      </c>
      <c r="V173" s="163"/>
      <c r="W173" s="162"/>
      <c r="X173" s="1008"/>
    </row>
    <row r="174" spans="1:24" hidden="1">
      <c r="A174" s="458"/>
      <c r="B174" s="1230"/>
      <c r="C174" s="1483" t="s">
        <v>699</v>
      </c>
      <c r="D174" s="401" t="s">
        <v>416</v>
      </c>
      <c r="E174" s="168"/>
      <c r="F174" s="168"/>
      <c r="G174" s="168"/>
      <c r="H174" s="168"/>
      <c r="I174" s="168"/>
      <c r="J174" s="152">
        <v>290</v>
      </c>
      <c r="K174" s="149"/>
      <c r="L174" s="149"/>
      <c r="M174" s="149"/>
      <c r="N174" s="149"/>
      <c r="O174" s="152">
        <v>247</v>
      </c>
      <c r="P174" s="152"/>
      <c r="Q174" s="152"/>
      <c r="R174" s="152"/>
      <c r="S174" s="152"/>
      <c r="T174" s="152"/>
      <c r="U174" s="152">
        <v>309</v>
      </c>
      <c r="V174" s="293">
        <v>242</v>
      </c>
      <c r="W174" s="168"/>
      <c r="X174" s="998"/>
    </row>
    <row r="175" spans="1:24" hidden="1">
      <c r="A175" s="458"/>
      <c r="B175" s="1230"/>
      <c r="C175" s="1481"/>
      <c r="D175" s="238" t="s">
        <v>345</v>
      </c>
      <c r="E175" s="134"/>
      <c r="F175" s="134"/>
      <c r="G175" s="134"/>
      <c r="H175" s="134"/>
      <c r="I175" s="134"/>
      <c r="J175" s="153">
        <v>253</v>
      </c>
      <c r="K175" s="134"/>
      <c r="L175" s="134"/>
      <c r="M175" s="134"/>
      <c r="N175" s="134"/>
      <c r="O175" s="153">
        <v>202</v>
      </c>
      <c r="P175" s="156"/>
      <c r="Q175" s="156"/>
      <c r="R175" s="156"/>
      <c r="S175" s="156"/>
      <c r="T175" s="156"/>
      <c r="U175" s="153">
        <v>264</v>
      </c>
      <c r="V175" s="153">
        <v>210</v>
      </c>
      <c r="W175" s="134"/>
      <c r="X175" s="1004"/>
    </row>
    <row r="176" spans="1:24" hidden="1">
      <c r="A176" s="458"/>
      <c r="B176" s="1230"/>
      <c r="C176" s="1481"/>
      <c r="D176" s="238" t="s">
        <v>346</v>
      </c>
      <c r="E176" s="134"/>
      <c r="F176" s="134"/>
      <c r="G176" s="134"/>
      <c r="H176" s="134"/>
      <c r="I176" s="134"/>
      <c r="J176" s="153">
        <v>37</v>
      </c>
      <c r="K176" s="191"/>
      <c r="L176" s="191"/>
      <c r="M176" s="191"/>
      <c r="N176" s="191"/>
      <c r="O176" s="153">
        <v>45</v>
      </c>
      <c r="P176" s="454"/>
      <c r="Q176" s="454"/>
      <c r="R176" s="454"/>
      <c r="S176" s="454"/>
      <c r="T176" s="454"/>
      <c r="U176" s="153">
        <v>45</v>
      </c>
      <c r="V176" s="153">
        <v>32</v>
      </c>
      <c r="W176" s="134"/>
      <c r="X176" s="1007"/>
    </row>
    <row r="177" spans="1:24" ht="15" hidden="1" thickBot="1">
      <c r="A177" s="458"/>
      <c r="B177" s="1230"/>
      <c r="C177" s="1482"/>
      <c r="D177" s="394" t="s">
        <v>289</v>
      </c>
      <c r="E177" s="162"/>
      <c r="F177" s="162"/>
      <c r="G177" s="162"/>
      <c r="H177" s="162"/>
      <c r="I177" s="162"/>
      <c r="J177" s="720">
        <f>(J176/J174*100)</f>
        <v>12.758620689655173</v>
      </c>
      <c r="K177" s="162"/>
      <c r="L177" s="162"/>
      <c r="M177" s="162"/>
      <c r="N177" s="162"/>
      <c r="O177" s="720">
        <f>(O176/O174*100)</f>
        <v>18.218623481781375</v>
      </c>
      <c r="P177" s="163"/>
      <c r="Q177" s="163"/>
      <c r="R177" s="163"/>
      <c r="S177" s="163"/>
      <c r="T177" s="163"/>
      <c r="U177" s="720">
        <f>(U176/U174*100)</f>
        <v>14.563106796116504</v>
      </c>
      <c r="V177" s="720">
        <f>(V176/V174*100)</f>
        <v>13.223140495867769</v>
      </c>
      <c r="W177" s="162"/>
      <c r="X177" s="1008"/>
    </row>
    <row r="178" spans="1:24" hidden="1">
      <c r="A178" s="458"/>
      <c r="B178" s="1230"/>
      <c r="C178" s="1483" t="s">
        <v>705</v>
      </c>
      <c r="D178" s="401" t="s">
        <v>416</v>
      </c>
      <c r="E178" s="168"/>
      <c r="F178" s="168"/>
      <c r="G178" s="168"/>
      <c r="H178" s="168"/>
      <c r="I178" s="168"/>
      <c r="J178" s="152"/>
      <c r="K178" s="149"/>
      <c r="L178" s="149"/>
      <c r="M178" s="149"/>
      <c r="N178" s="149"/>
      <c r="O178" s="152">
        <v>18</v>
      </c>
      <c r="P178" s="152"/>
      <c r="Q178" s="152"/>
      <c r="R178" s="152"/>
      <c r="S178" s="152"/>
      <c r="T178" s="152">
        <v>140</v>
      </c>
      <c r="U178" s="152">
        <v>200</v>
      </c>
      <c r="V178" s="293">
        <v>249</v>
      </c>
      <c r="W178" s="168"/>
      <c r="X178" s="998"/>
    </row>
    <row r="179" spans="1:24" hidden="1">
      <c r="A179" s="458"/>
      <c r="B179" s="1230"/>
      <c r="C179" s="1481"/>
      <c r="D179" s="238" t="s">
        <v>345</v>
      </c>
      <c r="E179" s="134"/>
      <c r="F179" s="134"/>
      <c r="G179" s="134"/>
      <c r="H179" s="134"/>
      <c r="I179" s="134"/>
      <c r="J179" s="153"/>
      <c r="K179" s="151"/>
      <c r="L179" s="151"/>
      <c r="M179" s="151"/>
      <c r="N179" s="151"/>
      <c r="O179" s="153">
        <v>15</v>
      </c>
      <c r="P179" s="156"/>
      <c r="Q179" s="156"/>
      <c r="R179" s="156"/>
      <c r="S179" s="156"/>
      <c r="T179" s="153">
        <v>126</v>
      </c>
      <c r="U179" s="153">
        <v>187</v>
      </c>
      <c r="V179" s="153">
        <v>219</v>
      </c>
      <c r="W179" s="134"/>
      <c r="X179" s="1004"/>
    </row>
    <row r="180" spans="1:24" hidden="1">
      <c r="A180" s="458"/>
      <c r="B180" s="1230"/>
      <c r="C180" s="1481"/>
      <c r="D180" s="238" t="s">
        <v>346</v>
      </c>
      <c r="E180" s="134"/>
      <c r="F180" s="134"/>
      <c r="G180" s="134"/>
      <c r="H180" s="134"/>
      <c r="I180" s="134"/>
      <c r="J180" s="153"/>
      <c r="K180" s="134"/>
      <c r="L180" s="134"/>
      <c r="M180" s="134"/>
      <c r="N180" s="134"/>
      <c r="O180" s="153">
        <v>3</v>
      </c>
      <c r="P180" s="454"/>
      <c r="Q180" s="454"/>
      <c r="R180" s="454"/>
      <c r="S180" s="454"/>
      <c r="T180" s="153">
        <v>14</v>
      </c>
      <c r="U180" s="153">
        <v>13</v>
      </c>
      <c r="V180" s="153">
        <v>21</v>
      </c>
      <c r="W180" s="134"/>
      <c r="X180" s="1007"/>
    </row>
    <row r="181" spans="1:24" ht="15" hidden="1" thickBot="1">
      <c r="A181" s="458"/>
      <c r="B181" s="1230"/>
      <c r="C181" s="1482"/>
      <c r="D181" s="394" t="s">
        <v>289</v>
      </c>
      <c r="E181" s="162"/>
      <c r="F181" s="162"/>
      <c r="G181" s="162"/>
      <c r="H181" s="162"/>
      <c r="I181" s="162"/>
      <c r="J181" s="163"/>
      <c r="K181" s="162"/>
      <c r="L181" s="162"/>
      <c r="M181" s="162"/>
      <c r="N181" s="162"/>
      <c r="O181" s="720">
        <f>(O180/O178*100)</f>
        <v>16.666666666666664</v>
      </c>
      <c r="P181" s="163"/>
      <c r="Q181" s="163"/>
      <c r="R181" s="163"/>
      <c r="S181" s="163"/>
      <c r="T181" s="720">
        <f>(T180/T178*100)</f>
        <v>10</v>
      </c>
      <c r="U181" s="720">
        <f>(U180/U178*100)</f>
        <v>6.5</v>
      </c>
      <c r="V181" s="720">
        <f>(V180/V178*100)</f>
        <v>8.4337349397590362</v>
      </c>
      <c r="W181" s="162"/>
      <c r="X181" s="1008"/>
    </row>
    <row r="182" spans="1:24" hidden="1">
      <c r="A182" s="458"/>
      <c r="B182" s="1230"/>
      <c r="C182" s="1483" t="s">
        <v>710</v>
      </c>
      <c r="D182" s="401" t="s">
        <v>416</v>
      </c>
      <c r="E182" s="168"/>
      <c r="F182" s="168"/>
      <c r="G182" s="168"/>
      <c r="H182" s="168"/>
      <c r="I182" s="168"/>
      <c r="J182" s="152"/>
      <c r="K182" s="149"/>
      <c r="L182" s="149"/>
      <c r="M182" s="149"/>
      <c r="N182" s="149"/>
      <c r="O182" s="152"/>
      <c r="P182" s="152"/>
      <c r="Q182" s="152"/>
      <c r="R182" s="152"/>
      <c r="S182" s="152"/>
      <c r="T182" s="152">
        <v>68</v>
      </c>
      <c r="U182" s="152">
        <v>146</v>
      </c>
      <c r="V182" s="293">
        <v>130</v>
      </c>
      <c r="W182" s="168"/>
      <c r="X182" s="998"/>
    </row>
    <row r="183" spans="1:24" hidden="1">
      <c r="A183" s="458"/>
      <c r="B183" s="1230"/>
      <c r="C183" s="1481"/>
      <c r="D183" s="238" t="s">
        <v>345</v>
      </c>
      <c r="E183" s="134"/>
      <c r="F183" s="134"/>
      <c r="G183" s="134"/>
      <c r="H183" s="134"/>
      <c r="I183" s="134"/>
      <c r="J183" s="156"/>
      <c r="K183" s="151"/>
      <c r="L183" s="151"/>
      <c r="M183" s="151"/>
      <c r="N183" s="151"/>
      <c r="O183" s="153"/>
      <c r="P183" s="156"/>
      <c r="Q183" s="156"/>
      <c r="R183" s="156"/>
      <c r="S183" s="156"/>
      <c r="T183" s="153">
        <v>24</v>
      </c>
      <c r="U183" s="153">
        <v>76</v>
      </c>
      <c r="V183" s="153">
        <v>70</v>
      </c>
      <c r="W183" s="134"/>
      <c r="X183" s="1004"/>
    </row>
    <row r="184" spans="1:24" hidden="1">
      <c r="A184" s="458"/>
      <c r="B184" s="1230"/>
      <c r="C184" s="1481"/>
      <c r="D184" s="238" t="s">
        <v>346</v>
      </c>
      <c r="E184" s="134"/>
      <c r="F184" s="134"/>
      <c r="G184" s="134"/>
      <c r="H184" s="134"/>
      <c r="I184" s="134"/>
      <c r="J184" s="454"/>
      <c r="K184" s="134"/>
      <c r="L184" s="134"/>
      <c r="M184" s="134"/>
      <c r="N184" s="134"/>
      <c r="O184" s="153"/>
      <c r="P184" s="454"/>
      <c r="Q184" s="454"/>
      <c r="R184" s="454"/>
      <c r="S184" s="454"/>
      <c r="T184" s="153">
        <v>44</v>
      </c>
      <c r="U184" s="153">
        <v>70</v>
      </c>
      <c r="V184" s="153">
        <v>60</v>
      </c>
      <c r="W184" s="134"/>
      <c r="X184" s="1007"/>
    </row>
    <row r="185" spans="1:24" ht="15" hidden="1" thickBot="1">
      <c r="A185" s="458"/>
      <c r="B185" s="1230"/>
      <c r="C185" s="1482"/>
      <c r="D185" s="394" t="s">
        <v>289</v>
      </c>
      <c r="E185" s="162"/>
      <c r="F185" s="162"/>
      <c r="G185" s="162"/>
      <c r="H185" s="162"/>
      <c r="I185" s="162"/>
      <c r="J185" s="163"/>
      <c r="K185" s="191"/>
      <c r="L185" s="191"/>
      <c r="M185" s="191"/>
      <c r="N185" s="191"/>
      <c r="O185" s="163"/>
      <c r="P185" s="163"/>
      <c r="Q185" s="163"/>
      <c r="R185" s="163"/>
      <c r="S185" s="163"/>
      <c r="T185" s="723">
        <f>(T184/T182*100)</f>
        <v>64.705882352941174</v>
      </c>
      <c r="U185" s="721">
        <f>(U184/U182*100)</f>
        <v>47.945205479452049</v>
      </c>
      <c r="V185" s="721">
        <f>(V184/V182*100)</f>
        <v>46.153846153846153</v>
      </c>
      <c r="W185" s="162"/>
      <c r="X185" s="1008"/>
    </row>
    <row r="186" spans="1:24" hidden="1">
      <c r="A186" s="458"/>
      <c r="B186" s="1230"/>
      <c r="C186" s="1483" t="s">
        <v>703</v>
      </c>
      <c r="D186" s="401" t="s">
        <v>416</v>
      </c>
      <c r="E186" s="168"/>
      <c r="F186" s="168"/>
      <c r="G186" s="168"/>
      <c r="H186" s="168"/>
      <c r="I186" s="168"/>
      <c r="J186" s="152">
        <v>95</v>
      </c>
      <c r="K186" s="149"/>
      <c r="L186" s="149"/>
      <c r="M186" s="149"/>
      <c r="N186" s="149"/>
      <c r="O186" s="152">
        <v>113</v>
      </c>
      <c r="P186" s="456"/>
      <c r="Q186" s="456"/>
      <c r="R186" s="456"/>
      <c r="S186" s="456"/>
      <c r="T186" s="152">
        <v>161</v>
      </c>
      <c r="U186" s="152">
        <v>139</v>
      </c>
      <c r="V186" s="152">
        <v>136</v>
      </c>
      <c r="W186" s="168"/>
      <c r="X186" s="1010"/>
    </row>
    <row r="187" spans="1:24" hidden="1">
      <c r="A187" s="458"/>
      <c r="B187" s="1230"/>
      <c r="C187" s="1481"/>
      <c r="D187" s="238" t="s">
        <v>345</v>
      </c>
      <c r="E187" s="134"/>
      <c r="F187" s="134"/>
      <c r="G187" s="134"/>
      <c r="H187" s="134"/>
      <c r="I187" s="134"/>
      <c r="J187" s="153">
        <v>53</v>
      </c>
      <c r="K187" s="151"/>
      <c r="L187" s="151"/>
      <c r="M187" s="151"/>
      <c r="N187" s="151"/>
      <c r="O187" s="153">
        <v>32</v>
      </c>
      <c r="P187" s="456"/>
      <c r="Q187" s="456"/>
      <c r="R187" s="456"/>
      <c r="S187" s="456"/>
      <c r="T187" s="153">
        <v>74</v>
      </c>
      <c r="U187" s="153">
        <v>65</v>
      </c>
      <c r="V187" s="153">
        <v>66</v>
      </c>
      <c r="W187" s="167"/>
      <c r="X187" s="1010"/>
    </row>
    <row r="188" spans="1:24" hidden="1">
      <c r="A188" s="458"/>
      <c r="B188" s="1230"/>
      <c r="C188" s="1481"/>
      <c r="D188" s="238" t="s">
        <v>346</v>
      </c>
      <c r="E188" s="134"/>
      <c r="F188" s="134"/>
      <c r="G188" s="134"/>
      <c r="H188" s="134"/>
      <c r="I188" s="134"/>
      <c r="J188" s="153">
        <v>42</v>
      </c>
      <c r="K188" s="134"/>
      <c r="L188" s="134"/>
      <c r="M188" s="134"/>
      <c r="N188" s="134"/>
      <c r="O188" s="153">
        <v>13</v>
      </c>
      <c r="P188" s="156"/>
      <c r="Q188" s="156"/>
      <c r="R188" s="156"/>
      <c r="S188" s="156"/>
      <c r="T188" s="153">
        <v>87</v>
      </c>
      <c r="U188" s="153">
        <v>74</v>
      </c>
      <c r="V188" s="153">
        <v>70</v>
      </c>
      <c r="W188" s="134"/>
      <c r="X188" s="1004"/>
    </row>
    <row r="189" spans="1:24" ht="15" hidden="1" thickBot="1">
      <c r="A189" s="458"/>
      <c r="B189" s="1230"/>
      <c r="C189" s="1482"/>
      <c r="D189" s="394" t="s">
        <v>289</v>
      </c>
      <c r="E189" s="162"/>
      <c r="F189" s="162"/>
      <c r="G189" s="162"/>
      <c r="H189" s="162"/>
      <c r="I189" s="162"/>
      <c r="J189" s="721">
        <f>(J188/J186*100)</f>
        <v>44.210526315789473</v>
      </c>
      <c r="K189" s="162"/>
      <c r="L189" s="162"/>
      <c r="M189" s="162"/>
      <c r="N189" s="162"/>
      <c r="O189" s="720">
        <f>(O188/O186*100)</f>
        <v>11.504424778761061</v>
      </c>
      <c r="P189" s="163"/>
      <c r="Q189" s="163"/>
      <c r="R189" s="163"/>
      <c r="S189" s="163"/>
      <c r="T189" s="721">
        <f>(T188/T186*100)</f>
        <v>54.037267080745345</v>
      </c>
      <c r="U189" s="721">
        <f>(U188/U186*100)</f>
        <v>53.237410071942449</v>
      </c>
      <c r="V189" s="721">
        <f>(V188/V186*100)</f>
        <v>51.470588235294116</v>
      </c>
      <c r="W189" s="162"/>
      <c r="X189" s="1008"/>
    </row>
    <row r="190" spans="1:24" hidden="1">
      <c r="A190" s="458"/>
      <c r="B190" s="1230"/>
      <c r="C190" s="1483" t="s">
        <v>704</v>
      </c>
      <c r="D190" s="401" t="s">
        <v>416</v>
      </c>
      <c r="E190" s="168"/>
      <c r="F190" s="168"/>
      <c r="G190" s="168"/>
      <c r="H190" s="168"/>
      <c r="I190" s="168"/>
      <c r="J190" s="152">
        <v>43</v>
      </c>
      <c r="K190" s="151"/>
      <c r="L190" s="151"/>
      <c r="M190" s="151"/>
      <c r="N190" s="151"/>
      <c r="O190" s="152"/>
      <c r="P190" s="152"/>
      <c r="Q190" s="152"/>
      <c r="R190" s="152"/>
      <c r="S190" s="152"/>
      <c r="T190" s="152">
        <v>69</v>
      </c>
      <c r="U190" s="152">
        <v>54</v>
      </c>
      <c r="V190" s="152">
        <v>45</v>
      </c>
      <c r="W190" s="168"/>
      <c r="X190" s="998"/>
    </row>
    <row r="191" spans="1:24" hidden="1">
      <c r="A191" s="458"/>
      <c r="B191" s="1230"/>
      <c r="C191" s="1481"/>
      <c r="D191" s="238" t="s">
        <v>345</v>
      </c>
      <c r="E191" s="134"/>
      <c r="F191" s="134"/>
      <c r="G191" s="134"/>
      <c r="H191" s="134"/>
      <c r="I191" s="134"/>
      <c r="J191" s="153">
        <v>36</v>
      </c>
      <c r="K191" s="151"/>
      <c r="L191" s="151"/>
      <c r="M191" s="151"/>
      <c r="N191" s="151"/>
      <c r="O191" s="153"/>
      <c r="P191" s="152"/>
      <c r="Q191" s="152"/>
      <c r="R191" s="152"/>
      <c r="S191" s="152"/>
      <c r="T191" s="153">
        <v>51</v>
      </c>
      <c r="U191" s="153">
        <v>41</v>
      </c>
      <c r="V191" s="153">
        <v>30</v>
      </c>
      <c r="W191" s="134"/>
      <c r="X191" s="998"/>
    </row>
    <row r="192" spans="1:24" hidden="1">
      <c r="A192" s="458"/>
      <c r="B192" s="1230"/>
      <c r="C192" s="1481"/>
      <c r="D192" s="238" t="s">
        <v>346</v>
      </c>
      <c r="E192" s="134"/>
      <c r="F192" s="134"/>
      <c r="G192" s="134"/>
      <c r="H192" s="134"/>
      <c r="I192" s="134"/>
      <c r="J192" s="153">
        <v>7</v>
      </c>
      <c r="K192" s="134"/>
      <c r="L192" s="134"/>
      <c r="M192" s="134"/>
      <c r="N192" s="134"/>
      <c r="O192" s="153"/>
      <c r="P192" s="156"/>
      <c r="Q192" s="156"/>
      <c r="R192" s="156"/>
      <c r="S192" s="156"/>
      <c r="T192" s="153">
        <v>18</v>
      </c>
      <c r="U192" s="153">
        <v>13</v>
      </c>
      <c r="V192" s="153">
        <v>15</v>
      </c>
      <c r="W192" s="134"/>
      <c r="X192" s="1004"/>
    </row>
    <row r="193" spans="1:27" ht="15" hidden="1" thickBot="1">
      <c r="A193" s="458"/>
      <c r="B193" s="1230"/>
      <c r="C193" s="1484"/>
      <c r="D193" s="455" t="s">
        <v>289</v>
      </c>
      <c r="E193" s="191"/>
      <c r="F193" s="191"/>
      <c r="G193" s="191"/>
      <c r="H193" s="191"/>
      <c r="I193" s="191"/>
      <c r="J193" s="720">
        <f>(J192/J190*100)</f>
        <v>16.279069767441861</v>
      </c>
      <c r="K193" s="162"/>
      <c r="L193" s="162"/>
      <c r="M193" s="162"/>
      <c r="N193" s="162"/>
      <c r="O193" s="163"/>
      <c r="P193" s="163"/>
      <c r="Q193" s="163"/>
      <c r="R193" s="163"/>
      <c r="S193" s="163"/>
      <c r="T193" s="720">
        <f>(T192/T190*100)</f>
        <v>26.086956521739129</v>
      </c>
      <c r="U193" s="720">
        <f>(U192/U190*100)</f>
        <v>24.074074074074073</v>
      </c>
      <c r="V193" s="720">
        <f>(V192/V190*100)</f>
        <v>33.333333333333329</v>
      </c>
      <c r="W193" s="191"/>
      <c r="X193" s="1008"/>
    </row>
    <row r="194" spans="1:27">
      <c r="A194" s="458"/>
      <c r="B194" s="1230"/>
      <c r="C194" s="1485" t="s">
        <v>469</v>
      </c>
      <c r="D194" s="158" t="s">
        <v>411</v>
      </c>
      <c r="E194" s="168"/>
      <c r="F194" s="168"/>
      <c r="G194" s="168"/>
      <c r="H194" s="168"/>
      <c r="I194" s="168"/>
      <c r="J194" s="725">
        <v>52.941176470588239</v>
      </c>
      <c r="K194" s="149"/>
      <c r="L194" s="149"/>
      <c r="M194" s="149"/>
      <c r="N194" s="149"/>
      <c r="O194" s="725">
        <v>52.631578947368418</v>
      </c>
      <c r="P194" s="159"/>
      <c r="Q194" s="159"/>
      <c r="R194" s="159"/>
      <c r="S194" s="159"/>
      <c r="T194" s="725">
        <v>47.368421052631575</v>
      </c>
      <c r="U194" s="725">
        <v>47.619047619047613</v>
      </c>
      <c r="V194" s="725">
        <v>50</v>
      </c>
      <c r="W194" s="1071">
        <f>0.454545454545455*100</f>
        <v>45.454545454545496</v>
      </c>
      <c r="X194" s="1009"/>
      <c r="Y194" s="722"/>
      <c r="Z194" s="722"/>
      <c r="AA194" s="722"/>
    </row>
    <row r="195" spans="1:27">
      <c r="A195" s="458"/>
      <c r="B195" s="1230"/>
      <c r="C195" s="1486"/>
      <c r="D195" s="192" t="s">
        <v>412</v>
      </c>
      <c r="E195" s="134"/>
      <c r="F195" s="134"/>
      <c r="G195" s="134"/>
      <c r="H195" s="134"/>
      <c r="I195" s="134"/>
      <c r="J195" s="724">
        <v>23.52941176470588</v>
      </c>
      <c r="K195" s="165"/>
      <c r="L195" s="165"/>
      <c r="M195" s="165"/>
      <c r="N195" s="165"/>
      <c r="O195" s="724">
        <v>21.052631578947366</v>
      </c>
      <c r="P195" s="456"/>
      <c r="Q195" s="456"/>
      <c r="R195" s="456"/>
      <c r="S195" s="456"/>
      <c r="T195" s="724">
        <v>21.052631578947366</v>
      </c>
      <c r="U195" s="724">
        <v>19.047619047619047</v>
      </c>
      <c r="V195" s="724">
        <v>15</v>
      </c>
      <c r="W195" s="1072">
        <f>0.181818181818182*100</f>
        <v>18.181818181818198</v>
      </c>
      <c r="X195" s="1010"/>
      <c r="Y195" s="722"/>
      <c r="Z195" s="722"/>
      <c r="AA195" s="722"/>
    </row>
    <row r="196" spans="1:27" ht="15" thickBot="1">
      <c r="A196" s="458"/>
      <c r="B196" s="1405"/>
      <c r="C196" s="1487"/>
      <c r="D196" s="201" t="s">
        <v>413</v>
      </c>
      <c r="E196" s="162"/>
      <c r="F196" s="162"/>
      <c r="G196" s="162"/>
      <c r="H196" s="162"/>
      <c r="I196" s="162"/>
      <c r="J196" s="727">
        <v>23.52941176470588</v>
      </c>
      <c r="K196" s="280"/>
      <c r="L196" s="280"/>
      <c r="M196" s="280"/>
      <c r="N196" s="280"/>
      <c r="O196" s="727">
        <v>26.315789473684209</v>
      </c>
      <c r="P196" s="719"/>
      <c r="Q196" s="719"/>
      <c r="R196" s="719"/>
      <c r="S196" s="719"/>
      <c r="T196" s="727">
        <v>31.578947368421051</v>
      </c>
      <c r="U196" s="727">
        <v>33.333333333333329</v>
      </c>
      <c r="V196" s="727">
        <v>35</v>
      </c>
      <c r="W196" s="1073">
        <f>0.363636363636364*100</f>
        <v>36.363636363636395</v>
      </c>
      <c r="X196" s="1006"/>
      <c r="Y196" s="722"/>
      <c r="Z196" s="722"/>
      <c r="AA196" s="722"/>
    </row>
    <row r="197" spans="1:27" ht="34.5" customHeight="1" thickBot="1">
      <c r="A197" s="247" t="s">
        <v>285</v>
      </c>
      <c r="B197" s="1398" t="s">
        <v>246</v>
      </c>
      <c r="C197" s="1399"/>
      <c r="D197" s="169"/>
      <c r="E197" s="170" t="s">
        <v>622</v>
      </c>
      <c r="F197" s="171" t="s">
        <v>623</v>
      </c>
      <c r="G197" s="170" t="s">
        <v>624</v>
      </c>
      <c r="H197" s="171" t="s">
        <v>625</v>
      </c>
      <c r="I197" s="170" t="s">
        <v>626</v>
      </c>
      <c r="J197" s="171" t="s">
        <v>627</v>
      </c>
      <c r="K197" s="170" t="s">
        <v>628</v>
      </c>
      <c r="L197" s="171" t="s">
        <v>629</v>
      </c>
      <c r="M197" s="170" t="s">
        <v>630</v>
      </c>
      <c r="N197" s="171" t="s">
        <v>631</v>
      </c>
      <c r="O197" s="170" t="s">
        <v>632</v>
      </c>
      <c r="P197" s="171" t="s">
        <v>633</v>
      </c>
      <c r="Q197" s="170" t="s">
        <v>634</v>
      </c>
      <c r="R197" s="171" t="s">
        <v>635</v>
      </c>
      <c r="S197" s="171" t="s">
        <v>636</v>
      </c>
      <c r="T197" s="171" t="s">
        <v>637</v>
      </c>
      <c r="U197" s="171" t="s">
        <v>638</v>
      </c>
      <c r="V197" s="171" t="s">
        <v>639</v>
      </c>
      <c r="W197" s="285" t="s">
        <v>640</v>
      </c>
      <c r="X197" s="1005" t="s">
        <v>641</v>
      </c>
    </row>
    <row r="198" spans="1:27" ht="15" customHeight="1">
      <c r="A198" s="1425" t="s">
        <v>163</v>
      </c>
      <c r="B198" s="1452" t="s">
        <v>711</v>
      </c>
      <c r="C198" s="1459" t="s">
        <v>712</v>
      </c>
      <c r="D198" s="1460"/>
      <c r="E198" s="168"/>
      <c r="F198" s="168"/>
      <c r="G198" s="168"/>
      <c r="H198" s="168"/>
      <c r="I198" s="168"/>
      <c r="J198" s="168"/>
      <c r="K198" s="168"/>
      <c r="L198" s="168"/>
      <c r="M198" s="168"/>
      <c r="N198" s="168"/>
      <c r="O198" s="172">
        <v>232139</v>
      </c>
      <c r="P198" s="172"/>
      <c r="Q198" s="172"/>
      <c r="R198" s="172"/>
      <c r="S198" s="172"/>
      <c r="T198" s="172">
        <v>242204</v>
      </c>
      <c r="U198" s="172">
        <v>241157</v>
      </c>
      <c r="V198" s="168"/>
      <c r="W198" s="168"/>
      <c r="X198" s="1012"/>
      <c r="Y198" s="728"/>
      <c r="Z198" s="728"/>
    </row>
    <row r="199" spans="1:27">
      <c r="A199" s="1426"/>
      <c r="B199" s="1453"/>
      <c r="C199" s="1437" t="s">
        <v>713</v>
      </c>
      <c r="D199" s="1438"/>
      <c r="E199" s="173"/>
      <c r="F199" s="173"/>
      <c r="G199" s="173"/>
      <c r="H199" s="173"/>
      <c r="I199" s="173"/>
      <c r="J199" s="173"/>
      <c r="K199" s="173"/>
      <c r="L199" s="173"/>
      <c r="M199" s="173"/>
      <c r="N199" s="173"/>
      <c r="O199" s="174">
        <v>107891</v>
      </c>
      <c r="P199" s="174"/>
      <c r="Q199" s="174"/>
      <c r="R199" s="174"/>
      <c r="S199" s="174"/>
      <c r="T199" s="174">
        <v>107137</v>
      </c>
      <c r="U199" s="174">
        <v>106156</v>
      </c>
      <c r="V199" s="173"/>
      <c r="W199" s="173"/>
      <c r="X199" s="236"/>
      <c r="Y199" s="728"/>
      <c r="Z199" s="728"/>
    </row>
    <row r="200" spans="1:27" ht="15" thickBot="1">
      <c r="A200" s="1426"/>
      <c r="B200" s="1453"/>
      <c r="C200" s="1463" t="s">
        <v>714</v>
      </c>
      <c r="D200" s="1464"/>
      <c r="E200" s="264"/>
      <c r="F200" s="264"/>
      <c r="G200" s="264"/>
      <c r="H200" s="264"/>
      <c r="I200" s="264"/>
      <c r="J200" s="264"/>
      <c r="K200" s="264"/>
      <c r="L200" s="264"/>
      <c r="M200" s="264"/>
      <c r="N200" s="264"/>
      <c r="O200" s="265">
        <v>124248</v>
      </c>
      <c r="P200" s="265"/>
      <c r="Q200" s="265"/>
      <c r="R200" s="265"/>
      <c r="S200" s="265"/>
      <c r="T200" s="265">
        <v>135067</v>
      </c>
      <c r="U200" s="265">
        <v>135001</v>
      </c>
      <c r="V200" s="264"/>
      <c r="W200" s="264"/>
      <c r="X200" s="1013"/>
      <c r="Y200" s="728"/>
      <c r="Z200" s="728"/>
    </row>
    <row r="201" spans="1:27">
      <c r="A201" s="1426"/>
      <c r="B201" s="1453"/>
      <c r="C201" s="1461" t="s">
        <v>715</v>
      </c>
      <c r="D201" s="1462"/>
      <c r="E201" s="267"/>
      <c r="F201" s="267"/>
      <c r="G201" s="267"/>
      <c r="H201" s="267"/>
      <c r="I201" s="267"/>
      <c r="J201" s="267"/>
      <c r="K201" s="267"/>
      <c r="L201" s="267"/>
      <c r="M201" s="267"/>
      <c r="N201" s="267"/>
      <c r="O201" s="268">
        <v>64468</v>
      </c>
      <c r="P201" s="268"/>
      <c r="Q201" s="268"/>
      <c r="R201" s="268"/>
      <c r="S201" s="268"/>
      <c r="T201" s="268">
        <v>62588</v>
      </c>
      <c r="U201" s="268">
        <v>63676</v>
      </c>
      <c r="V201" s="269"/>
      <c r="W201" s="269"/>
      <c r="X201" s="1014"/>
      <c r="Y201" s="728"/>
      <c r="Z201" s="728"/>
    </row>
    <row r="202" spans="1:27">
      <c r="A202" s="1426"/>
      <c r="B202" s="1453"/>
      <c r="C202" s="1437" t="s">
        <v>716</v>
      </c>
      <c r="D202" s="1438"/>
      <c r="E202" s="173"/>
      <c r="F202" s="173"/>
      <c r="G202" s="173"/>
      <c r="H202" s="173"/>
      <c r="I202" s="173"/>
      <c r="J202" s="173"/>
      <c r="K202" s="173"/>
      <c r="L202" s="173"/>
      <c r="M202" s="173"/>
      <c r="N202" s="173"/>
      <c r="O202" s="174">
        <v>42858</v>
      </c>
      <c r="P202" s="174"/>
      <c r="Q202" s="174"/>
      <c r="R202" s="174"/>
      <c r="S202" s="174"/>
      <c r="T202" s="174">
        <v>41108</v>
      </c>
      <c r="U202" s="174">
        <v>41609</v>
      </c>
      <c r="V202" s="173"/>
      <c r="W202" s="173"/>
      <c r="X202" s="236"/>
      <c r="Y202" s="728"/>
      <c r="Z202" s="728"/>
    </row>
    <row r="203" spans="1:27" ht="15" thickBot="1">
      <c r="A203" s="1426"/>
      <c r="B203" s="1453"/>
      <c r="C203" s="1463" t="s">
        <v>717</v>
      </c>
      <c r="D203" s="1464"/>
      <c r="E203" s="270"/>
      <c r="F203" s="270"/>
      <c r="G203" s="270"/>
      <c r="H203" s="270"/>
      <c r="I203" s="270"/>
      <c r="J203" s="270"/>
      <c r="K203" s="270"/>
      <c r="L203" s="270"/>
      <c r="M203" s="270"/>
      <c r="N203" s="270"/>
      <c r="O203" s="271">
        <v>21610</v>
      </c>
      <c r="P203" s="271"/>
      <c r="Q203" s="271"/>
      <c r="R203" s="271"/>
      <c r="S203" s="271"/>
      <c r="T203" s="271">
        <v>21480</v>
      </c>
      <c r="U203" s="271">
        <v>22067</v>
      </c>
      <c r="V203" s="270"/>
      <c r="W203" s="270"/>
      <c r="X203" s="1015"/>
      <c r="Y203" s="728"/>
      <c r="Z203" s="728"/>
    </row>
    <row r="204" spans="1:27">
      <c r="A204" s="1426"/>
      <c r="B204" s="1453"/>
      <c r="C204" s="1465" t="s">
        <v>718</v>
      </c>
      <c r="D204" s="1436"/>
      <c r="E204" s="173"/>
      <c r="F204" s="173"/>
      <c r="G204" s="173"/>
      <c r="H204" s="173"/>
      <c r="I204" s="173"/>
      <c r="J204" s="173"/>
      <c r="K204" s="173"/>
      <c r="L204" s="173"/>
      <c r="M204" s="173"/>
      <c r="N204" s="173"/>
      <c r="O204" s="266">
        <f>(O200/O198)*100</f>
        <v>53.523104691585644</v>
      </c>
      <c r="P204" s="266"/>
      <c r="Q204" s="266"/>
      <c r="R204" s="266"/>
      <c r="S204" s="266"/>
      <c r="T204" s="266">
        <f t="shared" ref="T204:U204" si="3">(T200/T198)*100</f>
        <v>55.765800729963168</v>
      </c>
      <c r="U204" s="266">
        <f t="shared" si="3"/>
        <v>55.980543795121015</v>
      </c>
      <c r="V204" s="173"/>
      <c r="W204" s="173"/>
      <c r="X204" s="1016"/>
      <c r="Y204" s="728"/>
      <c r="Z204" s="728"/>
    </row>
    <row r="205" spans="1:27">
      <c r="A205" s="1426"/>
      <c r="B205" s="1453"/>
      <c r="C205" s="1466" t="s">
        <v>719</v>
      </c>
      <c r="D205" s="1438"/>
      <c r="E205" s="134"/>
      <c r="F205" s="134"/>
      <c r="G205" s="134"/>
      <c r="H205" s="134"/>
      <c r="I205" s="134"/>
      <c r="J205" s="134"/>
      <c r="K205" s="134"/>
      <c r="L205" s="134"/>
      <c r="M205" s="134"/>
      <c r="N205" s="134"/>
      <c r="O205" s="177">
        <f>(O202/O199)*100</f>
        <v>39.723424567387454</v>
      </c>
      <c r="P205" s="177"/>
      <c r="Q205" s="177"/>
      <c r="R205" s="177"/>
      <c r="S205" s="177"/>
      <c r="T205" s="177">
        <f t="shared" ref="T205:U205" si="4">(T202/T199)*100</f>
        <v>38.369564202843087</v>
      </c>
      <c r="U205" s="177">
        <f t="shared" si="4"/>
        <v>39.196088775010359</v>
      </c>
      <c r="V205" s="134"/>
      <c r="W205" s="134"/>
      <c r="X205" s="245"/>
    </row>
    <row r="206" spans="1:27">
      <c r="A206" s="1426"/>
      <c r="B206" s="1453"/>
      <c r="C206" s="1467" t="s">
        <v>720</v>
      </c>
      <c r="D206" s="1468"/>
      <c r="E206" s="134"/>
      <c r="F206" s="134"/>
      <c r="G206" s="134"/>
      <c r="H206" s="134"/>
      <c r="I206" s="134"/>
      <c r="J206" s="134"/>
      <c r="K206" s="134"/>
      <c r="L206" s="134"/>
      <c r="M206" s="134"/>
      <c r="N206" s="134"/>
      <c r="O206" s="177">
        <f>(O203/O200)*100</f>
        <v>17.392634086665378</v>
      </c>
      <c r="P206" s="177"/>
      <c r="Q206" s="177"/>
      <c r="R206" s="177"/>
      <c r="S206" s="177"/>
      <c r="T206" s="177">
        <f t="shared" ref="T206:U206" si="5">(T203/T200)*100</f>
        <v>15.90321840271865</v>
      </c>
      <c r="U206" s="177">
        <f t="shared" si="5"/>
        <v>16.345804845890029</v>
      </c>
      <c r="V206" s="134"/>
      <c r="W206" s="134"/>
      <c r="X206" s="245"/>
    </row>
    <row r="207" spans="1:27" ht="15" thickBot="1">
      <c r="A207" s="1426"/>
      <c r="B207" s="1458"/>
      <c r="C207" s="1469" t="s">
        <v>339</v>
      </c>
      <c r="D207" s="1470"/>
      <c r="E207" s="157"/>
      <c r="F207" s="157"/>
      <c r="G207" s="157"/>
      <c r="H207" s="157"/>
      <c r="I207" s="157"/>
      <c r="J207" s="157"/>
      <c r="K207" s="157"/>
      <c r="L207" s="157"/>
      <c r="M207" s="157"/>
      <c r="N207" s="157"/>
      <c r="O207" s="178">
        <f>O206-O205</f>
        <v>-22.330790480722076</v>
      </c>
      <c r="P207" s="178"/>
      <c r="Q207" s="178"/>
      <c r="R207" s="178"/>
      <c r="S207" s="178"/>
      <c r="T207" s="178">
        <f t="shared" ref="T207:U207" si="6">T206-T205</f>
        <v>-22.466345800124436</v>
      </c>
      <c r="U207" s="178">
        <f t="shared" si="6"/>
        <v>-22.85028392912033</v>
      </c>
      <c r="V207" s="157"/>
      <c r="W207" s="157"/>
      <c r="X207" s="1017"/>
    </row>
    <row r="208" spans="1:27" ht="24" customHeight="1" thickBot="1">
      <c r="A208" s="1426"/>
      <c r="B208" s="1445" t="s">
        <v>246</v>
      </c>
      <c r="C208" s="1417"/>
      <c r="D208" s="169"/>
      <c r="E208" s="179">
        <v>2005</v>
      </c>
      <c r="F208" s="180">
        <v>2006</v>
      </c>
      <c r="G208" s="180">
        <v>2007</v>
      </c>
      <c r="H208" s="180">
        <v>2008</v>
      </c>
      <c r="I208" s="180">
        <v>2009</v>
      </c>
      <c r="J208" s="179">
        <v>2010</v>
      </c>
      <c r="K208" s="179">
        <v>2011</v>
      </c>
      <c r="L208" s="179">
        <v>2012</v>
      </c>
      <c r="M208" s="179">
        <v>2013</v>
      </c>
      <c r="N208" s="179">
        <v>2014</v>
      </c>
      <c r="O208" s="179">
        <v>2015</v>
      </c>
      <c r="P208" s="179">
        <v>2016</v>
      </c>
      <c r="Q208" s="179">
        <v>2017</v>
      </c>
      <c r="R208" s="179">
        <v>2018</v>
      </c>
      <c r="S208" s="179">
        <v>2019</v>
      </c>
      <c r="T208" s="179">
        <v>2020</v>
      </c>
      <c r="U208" s="179">
        <v>2021</v>
      </c>
      <c r="V208" s="179">
        <v>2022</v>
      </c>
      <c r="W208" s="179">
        <v>2023</v>
      </c>
      <c r="X208" s="1018">
        <v>2024</v>
      </c>
    </row>
    <row r="209" spans="1:24" ht="15" customHeight="1">
      <c r="A209" s="1426"/>
      <c r="B209" s="1488" t="s">
        <v>721</v>
      </c>
      <c r="C209" s="1491" t="s">
        <v>416</v>
      </c>
      <c r="D209" s="149" t="s">
        <v>291</v>
      </c>
      <c r="E209" s="757">
        <v>44480.2</v>
      </c>
      <c r="F209" s="769"/>
      <c r="G209" s="757"/>
      <c r="H209" s="757"/>
      <c r="I209" s="757"/>
      <c r="J209" s="757">
        <v>54721.399999999994</v>
      </c>
      <c r="K209" s="757"/>
      <c r="L209" s="757"/>
      <c r="M209" s="757"/>
      <c r="N209" s="757"/>
      <c r="O209" s="757">
        <v>47358.399999999994</v>
      </c>
      <c r="P209" s="757"/>
      <c r="Q209" s="757"/>
      <c r="R209" s="757"/>
      <c r="S209" s="757"/>
      <c r="T209" s="757">
        <v>57171.399999999994</v>
      </c>
      <c r="U209" s="757">
        <v>61116.700000000004</v>
      </c>
      <c r="V209" s="758">
        <v>64470</v>
      </c>
      <c r="W209" s="149"/>
      <c r="X209" s="1019"/>
    </row>
    <row r="210" spans="1:24">
      <c r="A210" s="1426"/>
      <c r="B210" s="1489"/>
      <c r="C210" s="1492"/>
      <c r="D210" s="134" t="s">
        <v>722</v>
      </c>
      <c r="E210" s="752">
        <v>13479.9</v>
      </c>
      <c r="F210" s="753"/>
      <c r="G210" s="752"/>
      <c r="H210" s="752"/>
      <c r="I210" s="752"/>
      <c r="J210" s="752">
        <v>16106.7</v>
      </c>
      <c r="K210" s="752"/>
      <c r="L210" s="752"/>
      <c r="M210" s="752"/>
      <c r="N210" s="752"/>
      <c r="O210" s="752">
        <v>12643.8</v>
      </c>
      <c r="P210" s="752"/>
      <c r="Q210" s="752"/>
      <c r="R210" s="752"/>
      <c r="S210" s="752"/>
      <c r="T210" s="752">
        <v>13208.3</v>
      </c>
      <c r="U210" s="752">
        <v>13525.7</v>
      </c>
      <c r="V210" s="752">
        <v>13391.2</v>
      </c>
      <c r="W210" s="134"/>
      <c r="X210" s="844"/>
    </row>
    <row r="211" spans="1:24">
      <c r="A211" s="1426"/>
      <c r="B211" s="1489"/>
      <c r="C211" s="1492"/>
      <c r="D211" s="134" t="s">
        <v>723</v>
      </c>
      <c r="E211" s="752">
        <v>10743.5</v>
      </c>
      <c r="F211" s="753"/>
      <c r="G211" s="752"/>
      <c r="H211" s="752"/>
      <c r="I211" s="752"/>
      <c r="J211" s="752">
        <v>15151.9</v>
      </c>
      <c r="K211" s="752"/>
      <c r="L211" s="752"/>
      <c r="M211" s="752"/>
      <c r="N211" s="752"/>
      <c r="O211" s="752">
        <v>12521.4</v>
      </c>
      <c r="P211" s="752"/>
      <c r="Q211" s="752"/>
      <c r="R211" s="752"/>
      <c r="S211" s="752"/>
      <c r="T211" s="752">
        <v>17172.699999999997</v>
      </c>
      <c r="U211" s="752">
        <v>17853.5</v>
      </c>
      <c r="V211" s="752">
        <v>18751.3</v>
      </c>
      <c r="W211" s="134"/>
      <c r="X211" s="844"/>
    </row>
    <row r="212" spans="1:24">
      <c r="A212" s="1426"/>
      <c r="B212" s="1489"/>
      <c r="C212" s="1492"/>
      <c r="D212" s="134" t="s">
        <v>724</v>
      </c>
      <c r="E212" s="752">
        <v>20256.8</v>
      </c>
      <c r="F212" s="754"/>
      <c r="G212" s="752"/>
      <c r="H212" s="752"/>
      <c r="I212" s="752"/>
      <c r="J212" s="752">
        <v>23462.799999999999</v>
      </c>
      <c r="K212" s="752"/>
      <c r="L212" s="752"/>
      <c r="M212" s="752"/>
      <c r="N212" s="752"/>
      <c r="O212" s="752">
        <v>22071.7</v>
      </c>
      <c r="P212" s="752"/>
      <c r="Q212" s="752"/>
      <c r="R212" s="752"/>
      <c r="S212" s="752"/>
      <c r="T212" s="752">
        <v>26619.1</v>
      </c>
      <c r="U212" s="752">
        <v>29563.1</v>
      </c>
      <c r="V212" s="752">
        <v>32073.8</v>
      </c>
      <c r="W212" s="1047"/>
      <c r="X212" s="844"/>
    </row>
    <row r="213" spans="1:24" ht="15" thickBot="1">
      <c r="A213" s="1426"/>
      <c r="B213" s="1489"/>
      <c r="C213" s="1492"/>
      <c r="D213" s="191" t="s">
        <v>725</v>
      </c>
      <c r="E213" s="755"/>
      <c r="F213" s="755"/>
      <c r="G213" s="755"/>
      <c r="H213" s="755"/>
      <c r="I213" s="755"/>
      <c r="J213" s="756"/>
      <c r="K213" s="755"/>
      <c r="L213" s="755"/>
      <c r="M213" s="755"/>
      <c r="N213" s="755"/>
      <c r="O213" s="755">
        <v>121.5</v>
      </c>
      <c r="P213" s="755"/>
      <c r="Q213" s="755"/>
      <c r="R213" s="755"/>
      <c r="S213" s="755"/>
      <c r="T213" s="755">
        <v>171.3</v>
      </c>
      <c r="U213" s="755">
        <v>174.4</v>
      </c>
      <c r="V213" s="755">
        <v>253.7</v>
      </c>
      <c r="W213" s="1048"/>
      <c r="X213" s="1020"/>
    </row>
    <row r="214" spans="1:24">
      <c r="A214" s="1426"/>
      <c r="B214" s="1489"/>
      <c r="C214" s="1372" t="s">
        <v>258</v>
      </c>
      <c r="D214" s="149" t="s">
        <v>291</v>
      </c>
      <c r="E214" s="757">
        <f>27417.7</f>
        <v>27417.7</v>
      </c>
      <c r="F214" s="757"/>
      <c r="G214" s="757"/>
      <c r="H214" s="757"/>
      <c r="I214" s="757"/>
      <c r="J214" s="757">
        <f>(33064.5)</f>
        <v>33064.5</v>
      </c>
      <c r="K214" s="757"/>
      <c r="L214" s="757"/>
      <c r="M214" s="757"/>
      <c r="N214" s="757"/>
      <c r="O214" s="757">
        <f>(28334.5)</f>
        <v>28334.5</v>
      </c>
      <c r="P214" s="757"/>
      <c r="Q214" s="757"/>
      <c r="R214" s="757"/>
      <c r="S214" s="757"/>
      <c r="T214" s="757">
        <f>(33459.9)</f>
        <v>33459.9</v>
      </c>
      <c r="U214" s="757">
        <f>(36248.6)</f>
        <v>36248.6</v>
      </c>
      <c r="V214" s="758">
        <f>(38396.3)</f>
        <v>38396.300000000003</v>
      </c>
      <c r="W214" s="149"/>
      <c r="X214" s="1019"/>
    </row>
    <row r="215" spans="1:24">
      <c r="A215" s="1426"/>
      <c r="B215" s="1489"/>
      <c r="C215" s="1373"/>
      <c r="D215" s="134" t="s">
        <v>722</v>
      </c>
      <c r="E215" s="759">
        <f>(6717.7)</f>
        <v>6717.7</v>
      </c>
      <c r="F215" s="752"/>
      <c r="G215" s="752"/>
      <c r="H215" s="752"/>
      <c r="I215" s="752"/>
      <c r="J215" s="760">
        <f>(7651.6)</f>
        <v>7651.6</v>
      </c>
      <c r="K215" s="752"/>
      <c r="L215" s="752"/>
      <c r="M215" s="752"/>
      <c r="N215" s="752"/>
      <c r="O215" s="760">
        <f>(6268.3)</f>
        <v>6268.3</v>
      </c>
      <c r="P215" s="752"/>
      <c r="Q215" s="752"/>
      <c r="R215" s="752"/>
      <c r="S215" s="752"/>
      <c r="T215" s="760">
        <f>(6076.3)</f>
        <v>6076.3</v>
      </c>
      <c r="U215" s="760">
        <f>(6238.9)</f>
        <v>6238.9</v>
      </c>
      <c r="V215" s="761">
        <f>(6193.1)</f>
        <v>6193.1</v>
      </c>
      <c r="W215" s="134"/>
      <c r="X215" s="844"/>
    </row>
    <row r="216" spans="1:24">
      <c r="A216" s="1426"/>
      <c r="B216" s="1489"/>
      <c r="C216" s="1373"/>
      <c r="D216" s="134" t="s">
        <v>723</v>
      </c>
      <c r="E216" s="760">
        <f>(6556.8)</f>
        <v>6556.8</v>
      </c>
      <c r="F216" s="752"/>
      <c r="G216" s="752"/>
      <c r="H216" s="752"/>
      <c r="I216" s="752"/>
      <c r="J216" s="760">
        <f>(9267.8)</f>
        <v>9267.7999999999993</v>
      </c>
      <c r="K216" s="752"/>
      <c r="L216" s="752"/>
      <c r="M216" s="752"/>
      <c r="N216" s="752"/>
      <c r="O216" s="760">
        <f>(7189.3)</f>
        <v>7189.3</v>
      </c>
      <c r="P216" s="752"/>
      <c r="Q216" s="752"/>
      <c r="R216" s="752"/>
      <c r="S216" s="752"/>
      <c r="T216" s="760">
        <f>(9605.8)</f>
        <v>9605.7999999999993</v>
      </c>
      <c r="U216" s="760">
        <f>(10042.1)</f>
        <v>10042.1</v>
      </c>
      <c r="V216" s="761">
        <f>(10483.9)</f>
        <v>10483.9</v>
      </c>
      <c r="W216" s="134"/>
      <c r="X216" s="844"/>
    </row>
    <row r="217" spans="1:24">
      <c r="A217" s="1426"/>
      <c r="B217" s="1489"/>
      <c r="C217" s="1373"/>
      <c r="D217" s="134" t="s">
        <v>724</v>
      </c>
      <c r="E217" s="760">
        <f>(14143.2)</f>
        <v>14143.2</v>
      </c>
      <c r="F217" s="756"/>
      <c r="G217" s="756"/>
      <c r="H217" s="756"/>
      <c r="I217" s="756"/>
      <c r="J217" s="760">
        <f>(16145.1)</f>
        <v>16145.1</v>
      </c>
      <c r="K217" s="752"/>
      <c r="L217" s="752"/>
      <c r="M217" s="752"/>
      <c r="N217" s="752"/>
      <c r="O217" s="760">
        <f>(14832.9)</f>
        <v>14832.9</v>
      </c>
      <c r="P217" s="752"/>
      <c r="Q217" s="752"/>
      <c r="R217" s="752"/>
      <c r="S217" s="752"/>
      <c r="T217" s="760">
        <f>(17715.6)</f>
        <v>17715.599999999999</v>
      </c>
      <c r="U217" s="760">
        <f>(19908.2)</f>
        <v>19908.2</v>
      </c>
      <c r="V217" s="762">
        <f>(21616.6)</f>
        <v>21616.6</v>
      </c>
      <c r="W217" s="134"/>
      <c r="X217" s="844"/>
    </row>
    <row r="218" spans="1:24" ht="15" thickBot="1">
      <c r="A218" s="1426"/>
      <c r="B218" s="1489"/>
      <c r="C218" s="1374"/>
      <c r="D218" s="460" t="s">
        <v>726</v>
      </c>
      <c r="E218" s="755"/>
      <c r="F218" s="756"/>
      <c r="G218" s="756"/>
      <c r="H218" s="756"/>
      <c r="I218" s="756"/>
      <c r="J218" s="755"/>
      <c r="K218" s="755"/>
      <c r="L218" s="755"/>
      <c r="M218" s="755"/>
      <c r="N218" s="755"/>
      <c r="O218" s="763">
        <f>(44)</f>
        <v>44</v>
      </c>
      <c r="P218" s="755"/>
      <c r="Q218" s="755"/>
      <c r="R218" s="755"/>
      <c r="S218" s="755"/>
      <c r="T218" s="763">
        <f>(62.2)</f>
        <v>62.2</v>
      </c>
      <c r="U218" s="763">
        <f>(59.4)</f>
        <v>59.4</v>
      </c>
      <c r="V218" s="762">
        <f>(102.7)</f>
        <v>102.7</v>
      </c>
      <c r="W218" s="191"/>
      <c r="X218" s="1020"/>
    </row>
    <row r="219" spans="1:24">
      <c r="A219" s="1426"/>
      <c r="B219" s="1489"/>
      <c r="C219" s="1372" t="s">
        <v>259</v>
      </c>
      <c r="D219" s="149" t="s">
        <v>291</v>
      </c>
      <c r="E219" s="757">
        <f>17062.5</f>
        <v>17062.5</v>
      </c>
      <c r="F219" s="757"/>
      <c r="G219" s="757"/>
      <c r="H219" s="757"/>
      <c r="I219" s="757"/>
      <c r="J219" s="757">
        <f>(21656.9)</f>
        <v>21656.9</v>
      </c>
      <c r="K219" s="757"/>
      <c r="L219" s="757"/>
      <c r="M219" s="757"/>
      <c r="N219" s="757"/>
      <c r="O219" s="757">
        <f>(19023.9)</f>
        <v>19023.900000000001</v>
      </c>
      <c r="P219" s="757"/>
      <c r="Q219" s="757"/>
      <c r="R219" s="757"/>
      <c r="S219" s="757"/>
      <c r="T219" s="757">
        <f>(23711.5)</f>
        <v>23711.5</v>
      </c>
      <c r="U219" s="757">
        <f>(24868.1)</f>
        <v>24868.1</v>
      </c>
      <c r="V219" s="758">
        <f>(26073.7)</f>
        <v>26073.7</v>
      </c>
      <c r="W219" s="149"/>
      <c r="X219" s="1019"/>
    </row>
    <row r="220" spans="1:24">
      <c r="A220" s="1426"/>
      <c r="B220" s="1489"/>
      <c r="C220" s="1373"/>
      <c r="D220" s="134" t="s">
        <v>722</v>
      </c>
      <c r="E220" s="760">
        <f>(6762.2)</f>
        <v>6762.2</v>
      </c>
      <c r="F220" s="752"/>
      <c r="G220" s="752"/>
      <c r="H220" s="752"/>
      <c r="I220" s="752"/>
      <c r="J220" s="760">
        <f>(8455.1)</f>
        <v>8455.1</v>
      </c>
      <c r="K220" s="752"/>
      <c r="L220" s="752"/>
      <c r="M220" s="752"/>
      <c r="N220" s="752"/>
      <c r="O220" s="760">
        <f>(6375.5)</f>
        <v>6375.5</v>
      </c>
      <c r="P220" s="752"/>
      <c r="Q220" s="752"/>
      <c r="R220" s="752"/>
      <c r="S220" s="752"/>
      <c r="T220" s="760">
        <f>(7132)</f>
        <v>7132</v>
      </c>
      <c r="U220" s="764">
        <f>(7286.8)</f>
        <v>7286.8</v>
      </c>
      <c r="V220" s="752">
        <f>(7198.1)</f>
        <v>7198.1</v>
      </c>
      <c r="W220" s="134"/>
      <c r="X220" s="844"/>
    </row>
    <row r="221" spans="1:24">
      <c r="A221" s="1426"/>
      <c r="B221" s="1489"/>
      <c r="C221" s="1373"/>
      <c r="D221" s="134" t="s">
        <v>723</v>
      </c>
      <c r="E221" s="760">
        <f>(4186.7)</f>
        <v>4186.7</v>
      </c>
      <c r="F221" s="752"/>
      <c r="G221" s="752"/>
      <c r="H221" s="752"/>
      <c r="I221" s="752"/>
      <c r="J221" s="760">
        <f>(5884.1)</f>
        <v>5884.1</v>
      </c>
      <c r="K221" s="752"/>
      <c r="L221" s="752"/>
      <c r="M221" s="752"/>
      <c r="N221" s="752"/>
      <c r="O221" s="760">
        <f>(5332.1)</f>
        <v>5332.1</v>
      </c>
      <c r="P221" s="752"/>
      <c r="Q221" s="752"/>
      <c r="R221" s="752"/>
      <c r="S221" s="752"/>
      <c r="T221" s="760">
        <f>(7566.9)</f>
        <v>7566.9</v>
      </c>
      <c r="U221" s="764">
        <f>(7811.4)</f>
        <v>7811.4</v>
      </c>
      <c r="V221" s="752">
        <f>(8267.4)</f>
        <v>8267.4</v>
      </c>
      <c r="W221" s="134"/>
      <c r="X221" s="844"/>
    </row>
    <row r="222" spans="1:24">
      <c r="A222" s="1426"/>
      <c r="B222" s="1489"/>
      <c r="C222" s="1373"/>
      <c r="D222" s="134" t="s">
        <v>724</v>
      </c>
      <c r="E222" s="760">
        <f>(6113.6)</f>
        <v>6113.6</v>
      </c>
      <c r="F222" s="756"/>
      <c r="G222" s="756"/>
      <c r="H222" s="756"/>
      <c r="I222" s="752"/>
      <c r="J222" s="760">
        <f>(7317.7)</f>
        <v>7317.7</v>
      </c>
      <c r="K222" s="752"/>
      <c r="L222" s="752"/>
      <c r="M222" s="752"/>
      <c r="N222" s="752"/>
      <c r="O222" s="760">
        <f>(7238.8)</f>
        <v>7238.8</v>
      </c>
      <c r="P222" s="752"/>
      <c r="Q222" s="752"/>
      <c r="R222" s="752"/>
      <c r="S222" s="752"/>
      <c r="T222" s="760">
        <f>(8903.5)</f>
        <v>8903.5</v>
      </c>
      <c r="U222" s="760">
        <f>(9654.9)</f>
        <v>9654.9</v>
      </c>
      <c r="V222" s="756">
        <f>(10457.2)</f>
        <v>10457.200000000001</v>
      </c>
      <c r="W222" s="191"/>
      <c r="X222" s="844"/>
    </row>
    <row r="223" spans="1:24" ht="15" thickBot="1">
      <c r="A223" s="1426"/>
      <c r="B223" s="1489"/>
      <c r="C223" s="1374"/>
      <c r="D223" s="460" t="s">
        <v>726</v>
      </c>
      <c r="E223" s="765"/>
      <c r="F223" s="766"/>
      <c r="G223" s="766"/>
      <c r="H223" s="767"/>
      <c r="I223" s="767"/>
      <c r="J223" s="767"/>
      <c r="K223" s="767"/>
      <c r="L223" s="767"/>
      <c r="M223" s="767"/>
      <c r="N223" s="767"/>
      <c r="O223" s="768">
        <f>(77.5)</f>
        <v>77.5</v>
      </c>
      <c r="P223" s="767"/>
      <c r="Q223" s="767"/>
      <c r="R223" s="767"/>
      <c r="S223" s="767"/>
      <c r="T223" s="768">
        <f>(109.1)</f>
        <v>109.1</v>
      </c>
      <c r="U223" s="768">
        <f>(115)</f>
        <v>115</v>
      </c>
      <c r="V223" s="767">
        <f>(151)</f>
        <v>151</v>
      </c>
      <c r="W223" s="1049"/>
      <c r="X223" s="1021"/>
    </row>
    <row r="224" spans="1:24" ht="15" thickBot="1">
      <c r="A224" s="1426"/>
      <c r="B224" s="1489"/>
      <c r="C224" s="1493" t="s">
        <v>289</v>
      </c>
      <c r="D224" s="750" t="s">
        <v>291</v>
      </c>
      <c r="E224" s="185">
        <f>+E219/E209*100</f>
        <v>38.359764569403914</v>
      </c>
      <c r="F224" s="757"/>
      <c r="G224" s="757"/>
      <c r="H224" s="757"/>
      <c r="I224" s="757"/>
      <c r="J224" s="185">
        <f t="shared" ref="J224:O224" si="7">+J219/J209*100</f>
        <v>39.576655568022758</v>
      </c>
      <c r="K224" s="757"/>
      <c r="L224" s="757"/>
      <c r="M224" s="757"/>
      <c r="N224" s="757"/>
      <c r="O224" s="185">
        <f t="shared" si="7"/>
        <v>40.170064867056325</v>
      </c>
      <c r="P224" s="461"/>
      <c r="Q224" s="461"/>
      <c r="R224" s="751"/>
      <c r="S224" s="461"/>
      <c r="T224" s="185">
        <f t="shared" ref="T224:V224" si="8">+T219/T209*100</f>
        <v>41.474408532937801</v>
      </c>
      <c r="U224" s="185">
        <f t="shared" si="8"/>
        <v>40.689533302681582</v>
      </c>
      <c r="V224" s="185">
        <f t="shared" si="8"/>
        <v>40.443151853575309</v>
      </c>
      <c r="W224" s="1050"/>
      <c r="X224" s="1022"/>
    </row>
    <row r="225" spans="1:27" ht="15" thickBot="1">
      <c r="A225" s="1426"/>
      <c r="B225" s="1489"/>
      <c r="C225" s="1494"/>
      <c r="D225" s="134" t="s">
        <v>722</v>
      </c>
      <c r="E225" s="185">
        <f>+E220/E210*100</f>
        <v>50.165060571665961</v>
      </c>
      <c r="F225" s="752"/>
      <c r="G225" s="752"/>
      <c r="H225" s="752"/>
      <c r="I225" s="752"/>
      <c r="J225" s="185">
        <f t="shared" ref="J225:O225" si="9">+J220/J210*100</f>
        <v>52.494303612782254</v>
      </c>
      <c r="K225" s="752"/>
      <c r="L225" s="752"/>
      <c r="M225" s="752"/>
      <c r="N225" s="752"/>
      <c r="O225" s="185">
        <f t="shared" si="9"/>
        <v>50.423923187649287</v>
      </c>
      <c r="P225" s="181"/>
      <c r="Q225" s="181"/>
      <c r="R225" s="134"/>
      <c r="S225" s="181"/>
      <c r="T225" s="185">
        <f t="shared" ref="T225:V225" si="10">+T220/T210*100</f>
        <v>53.996350779434145</v>
      </c>
      <c r="U225" s="185">
        <f t="shared" si="10"/>
        <v>53.873736664276151</v>
      </c>
      <c r="V225" s="185">
        <f t="shared" si="10"/>
        <v>53.752464304916657</v>
      </c>
      <c r="W225" s="181"/>
      <c r="X225" s="16"/>
    </row>
    <row r="226" spans="1:27" ht="15" thickBot="1">
      <c r="A226" s="1426"/>
      <c r="B226" s="1489"/>
      <c r="C226" s="1494"/>
      <c r="D226" s="134" t="s">
        <v>723</v>
      </c>
      <c r="E226" s="185">
        <f>+E221/E211*100</f>
        <v>38.969609531344531</v>
      </c>
      <c r="F226" s="752"/>
      <c r="G226" s="752"/>
      <c r="H226" s="752"/>
      <c r="I226" s="752"/>
      <c r="J226" s="185">
        <f t="shared" ref="J226:O226" si="11">+J221/J211*100</f>
        <v>38.834073614530197</v>
      </c>
      <c r="K226" s="752"/>
      <c r="L226" s="752"/>
      <c r="M226" s="752"/>
      <c r="N226" s="752"/>
      <c r="O226" s="185">
        <f t="shared" si="11"/>
        <v>42.583896369415562</v>
      </c>
      <c r="P226" s="181"/>
      <c r="Q226" s="134"/>
      <c r="R226" s="134"/>
      <c r="S226" s="181"/>
      <c r="T226" s="185">
        <f t="shared" ref="T226:V226" si="12">+T221/T211*100</f>
        <v>44.063542716055139</v>
      </c>
      <c r="U226" s="185">
        <f t="shared" si="12"/>
        <v>43.752765564175093</v>
      </c>
      <c r="V226" s="185">
        <f t="shared" si="12"/>
        <v>44.089743111144294</v>
      </c>
      <c r="W226" s="181"/>
      <c r="X226" s="16"/>
    </row>
    <row r="227" spans="1:27" ht="15" thickBot="1">
      <c r="A227" s="1426"/>
      <c r="B227" s="1489"/>
      <c r="C227" s="1494"/>
      <c r="D227" s="134" t="s">
        <v>727</v>
      </c>
      <c r="E227" s="185">
        <f>+E222/E212*100</f>
        <v>30.180482603372699</v>
      </c>
      <c r="F227" s="756"/>
      <c r="G227" s="756"/>
      <c r="H227" s="756"/>
      <c r="I227" s="756"/>
      <c r="J227" s="185">
        <f t="shared" ref="J227:O228" si="13">+J222/J212*100</f>
        <v>31.188519699268628</v>
      </c>
      <c r="K227" s="756"/>
      <c r="L227" s="756"/>
      <c r="M227" s="756"/>
      <c r="N227" s="756"/>
      <c r="O227" s="185">
        <f t="shared" si="13"/>
        <v>32.796748777846744</v>
      </c>
      <c r="P227" s="181"/>
      <c r="Q227" s="181"/>
      <c r="R227" s="134"/>
      <c r="S227" s="181"/>
      <c r="T227" s="185">
        <f t="shared" ref="T227:V227" si="14">+T222/T212*100</f>
        <v>33.44778749093696</v>
      </c>
      <c r="U227" s="185">
        <f t="shared" si="14"/>
        <v>32.658618345166779</v>
      </c>
      <c r="V227" s="185">
        <f t="shared" si="14"/>
        <v>32.603558044260424</v>
      </c>
      <c r="W227" s="181"/>
      <c r="X227" s="16"/>
    </row>
    <row r="228" spans="1:27" ht="28.5" customHeight="1" thickBot="1">
      <c r="A228" s="1426"/>
      <c r="B228" s="1490"/>
      <c r="C228" s="1495"/>
      <c r="D228" s="162" t="s">
        <v>726</v>
      </c>
      <c r="E228" s="185"/>
      <c r="F228" s="757"/>
      <c r="G228" s="757"/>
      <c r="H228" s="757"/>
      <c r="I228" s="757"/>
      <c r="J228" s="185"/>
      <c r="K228" s="757"/>
      <c r="L228" s="757"/>
      <c r="M228" s="757"/>
      <c r="N228" s="757"/>
      <c r="O228" s="185">
        <f t="shared" si="13"/>
        <v>63.786008230452673</v>
      </c>
      <c r="P228" s="186"/>
      <c r="Q228" s="186"/>
      <c r="R228" s="162"/>
      <c r="S228" s="186"/>
      <c r="T228" s="185">
        <f t="shared" ref="T228:V228" si="15">+T223/T213*100</f>
        <v>63.689433741973133</v>
      </c>
      <c r="U228" s="185">
        <f t="shared" si="15"/>
        <v>65.940366972477065</v>
      </c>
      <c r="V228" s="185">
        <f t="shared" si="15"/>
        <v>59.519117067402448</v>
      </c>
      <c r="W228" s="186"/>
      <c r="X228" s="219"/>
    </row>
    <row r="229" spans="1:27" ht="39.75" customHeight="1" thickBot="1">
      <c r="A229" s="1426"/>
      <c r="B229" s="1445" t="s">
        <v>246</v>
      </c>
      <c r="C229" s="1399"/>
      <c r="D229" s="169"/>
      <c r="E229" s="170" t="s">
        <v>622</v>
      </c>
      <c r="F229" s="171" t="s">
        <v>623</v>
      </c>
      <c r="G229" s="170" t="s">
        <v>624</v>
      </c>
      <c r="H229" s="171" t="s">
        <v>625</v>
      </c>
      <c r="I229" s="170" t="s">
        <v>626</v>
      </c>
      <c r="J229" s="171" t="s">
        <v>627</v>
      </c>
      <c r="K229" s="170" t="s">
        <v>628</v>
      </c>
      <c r="L229" s="171" t="s">
        <v>629</v>
      </c>
      <c r="M229" s="170" t="s">
        <v>630</v>
      </c>
      <c r="N229" s="171" t="s">
        <v>631</v>
      </c>
      <c r="O229" s="170" t="s">
        <v>632</v>
      </c>
      <c r="P229" s="171" t="s">
        <v>633</v>
      </c>
      <c r="Q229" s="170" t="s">
        <v>634</v>
      </c>
      <c r="R229" s="171" t="s">
        <v>635</v>
      </c>
      <c r="S229" s="171" t="s">
        <v>636</v>
      </c>
      <c r="T229" s="171" t="s">
        <v>637</v>
      </c>
      <c r="U229" s="171" t="s">
        <v>638</v>
      </c>
      <c r="V229" s="171" t="s">
        <v>639</v>
      </c>
      <c r="W229" s="171" t="s">
        <v>640</v>
      </c>
      <c r="X229" s="1005" t="s">
        <v>641</v>
      </c>
    </row>
    <row r="230" spans="1:27">
      <c r="A230" s="1426"/>
      <c r="B230" s="1452" t="s">
        <v>728</v>
      </c>
      <c r="C230" s="1459" t="s">
        <v>262</v>
      </c>
      <c r="D230" s="1460"/>
      <c r="E230" s="149"/>
      <c r="F230" s="149"/>
      <c r="G230" s="149"/>
      <c r="H230" s="149"/>
      <c r="I230" s="149"/>
      <c r="J230" s="149"/>
      <c r="K230" s="149"/>
      <c r="L230" s="149"/>
      <c r="M230" s="149"/>
      <c r="N230" s="149"/>
      <c r="O230" s="149"/>
      <c r="P230" s="149"/>
      <c r="Q230" s="149"/>
      <c r="R230" s="149"/>
      <c r="S230" s="150">
        <v>18186</v>
      </c>
      <c r="T230" s="150">
        <v>18445</v>
      </c>
      <c r="U230" s="150">
        <v>19173</v>
      </c>
      <c r="V230" s="168"/>
      <c r="W230" s="168"/>
      <c r="X230" s="52"/>
      <c r="Y230" s="739"/>
      <c r="Z230" s="739"/>
    </row>
    <row r="231" spans="1:27">
      <c r="A231" s="1426"/>
      <c r="B231" s="1453"/>
      <c r="C231" s="1437" t="s">
        <v>258</v>
      </c>
      <c r="D231" s="1438"/>
      <c r="E231" s="165"/>
      <c r="F231" s="165"/>
      <c r="G231" s="165"/>
      <c r="H231" s="165"/>
      <c r="I231" s="165"/>
      <c r="J231" s="165"/>
      <c r="K231" s="165"/>
      <c r="L231" s="165"/>
      <c r="M231" s="165"/>
      <c r="N231" s="165"/>
      <c r="O231" s="165"/>
      <c r="P231" s="165"/>
      <c r="Q231" s="165"/>
      <c r="R231" s="165"/>
      <c r="S231" s="154">
        <v>10269</v>
      </c>
      <c r="T231" s="154">
        <v>10332</v>
      </c>
      <c r="U231" s="154">
        <v>10736</v>
      </c>
      <c r="V231" s="134"/>
      <c r="W231" s="134"/>
      <c r="X231" s="1023"/>
      <c r="Y231" s="579"/>
    </row>
    <row r="232" spans="1:27">
      <c r="A232" s="1426"/>
      <c r="B232" s="1453"/>
      <c r="C232" s="1437" t="s">
        <v>259</v>
      </c>
      <c r="D232" s="1438"/>
      <c r="E232" s="165"/>
      <c r="F232" s="165"/>
      <c r="G232" s="165"/>
      <c r="H232" s="165"/>
      <c r="I232" s="165"/>
      <c r="J232" s="165"/>
      <c r="K232" s="165"/>
      <c r="L232" s="165"/>
      <c r="M232" s="165"/>
      <c r="N232" s="165"/>
      <c r="O232" s="165"/>
      <c r="P232" s="165"/>
      <c r="Q232" s="165"/>
      <c r="R232" s="165"/>
      <c r="S232" s="154">
        <v>7917</v>
      </c>
      <c r="T232" s="154">
        <v>8113</v>
      </c>
      <c r="U232" s="154">
        <v>8437</v>
      </c>
      <c r="V232" s="134"/>
      <c r="W232" s="134"/>
      <c r="X232" s="1023"/>
    </row>
    <row r="233" spans="1:27">
      <c r="A233" s="1426"/>
      <c r="B233" s="1453"/>
      <c r="C233" s="1375" t="s">
        <v>422</v>
      </c>
      <c r="D233" s="1376"/>
      <c r="E233" s="165"/>
      <c r="F233" s="165"/>
      <c r="G233" s="165"/>
      <c r="H233" s="165"/>
      <c r="I233" s="165"/>
      <c r="J233" s="165"/>
      <c r="K233" s="165"/>
      <c r="L233" s="165"/>
      <c r="M233" s="165"/>
      <c r="N233" s="165"/>
      <c r="O233" s="165"/>
      <c r="P233" s="165"/>
      <c r="Q233" s="165"/>
      <c r="R233" s="134"/>
      <c r="S233" s="154">
        <f>+S232-S231</f>
        <v>-2352</v>
      </c>
      <c r="T233" s="154">
        <f t="shared" ref="T233:U233" si="16">+T232-T231</f>
        <v>-2219</v>
      </c>
      <c r="U233" s="154">
        <f t="shared" si="16"/>
        <v>-2299</v>
      </c>
      <c r="V233" s="134"/>
      <c r="W233" s="134"/>
      <c r="X233" s="16"/>
    </row>
    <row r="234" spans="1:27" ht="15" thickBot="1">
      <c r="A234" s="1426"/>
      <c r="B234" s="737"/>
      <c r="C234" s="1375" t="s">
        <v>289</v>
      </c>
      <c r="D234" s="1376"/>
      <c r="E234" s="812"/>
      <c r="F234" s="35"/>
      <c r="G234" s="35"/>
      <c r="H234" s="35"/>
      <c r="I234" s="35"/>
      <c r="J234" s="812"/>
      <c r="K234" s="812"/>
      <c r="L234" s="812"/>
      <c r="M234" s="812"/>
      <c r="N234" s="812"/>
      <c r="O234" s="812"/>
      <c r="P234" s="812"/>
      <c r="Q234" s="812"/>
      <c r="R234" s="813"/>
      <c r="S234" s="185">
        <f>+S232/S230*100</f>
        <v>43.533487297921482</v>
      </c>
      <c r="T234" s="185">
        <f t="shared" ref="T234:U234" si="17">+T232/T230*100</f>
        <v>43.984819734345351</v>
      </c>
      <c r="U234" s="185">
        <f t="shared" si="17"/>
        <v>44.004589787722317</v>
      </c>
      <c r="V234" s="813"/>
      <c r="W234" s="813"/>
      <c r="X234" s="1024"/>
    </row>
    <row r="235" spans="1:27" ht="16" thickBot="1">
      <c r="A235" s="247" t="s">
        <v>285</v>
      </c>
      <c r="B235" s="1445" t="s">
        <v>246</v>
      </c>
      <c r="C235" s="1417"/>
      <c r="D235" s="169"/>
      <c r="E235" s="171">
        <v>2005</v>
      </c>
      <c r="F235" s="187">
        <v>2006</v>
      </c>
      <c r="G235" s="187">
        <v>2007</v>
      </c>
      <c r="H235" s="187">
        <v>2008</v>
      </c>
      <c r="I235" s="187">
        <v>2009</v>
      </c>
      <c r="J235" s="171">
        <v>2010</v>
      </c>
      <c r="K235" s="171">
        <v>2011</v>
      </c>
      <c r="L235" s="171">
        <v>2012</v>
      </c>
      <c r="M235" s="171">
        <v>2013</v>
      </c>
      <c r="N235" s="171">
        <v>2014</v>
      </c>
      <c r="O235" s="171">
        <v>2015</v>
      </c>
      <c r="P235" s="171">
        <v>2016</v>
      </c>
      <c r="Q235" s="171">
        <v>2017</v>
      </c>
      <c r="R235" s="171">
        <v>2018</v>
      </c>
      <c r="S235" s="171">
        <v>2019</v>
      </c>
      <c r="T235" s="171">
        <v>2020</v>
      </c>
      <c r="U235" s="171">
        <v>2021</v>
      </c>
      <c r="V235" s="171">
        <v>2022</v>
      </c>
      <c r="W235" s="171">
        <v>2023</v>
      </c>
      <c r="X235" s="1025">
        <v>2024</v>
      </c>
    </row>
    <row r="236" spans="1:27" ht="15" customHeight="1">
      <c r="A236" s="1395" t="s">
        <v>173</v>
      </c>
      <c r="B236" s="1378" t="s">
        <v>729</v>
      </c>
      <c r="C236" s="1414" t="s">
        <v>416</v>
      </c>
      <c r="D236" s="1414"/>
      <c r="E236" s="134"/>
      <c r="F236" s="134"/>
      <c r="G236" s="134"/>
      <c r="H236" s="134"/>
      <c r="I236" s="134"/>
      <c r="J236" s="814">
        <v>26466</v>
      </c>
      <c r="K236" s="753"/>
      <c r="L236" s="753"/>
      <c r="M236" s="753"/>
      <c r="N236" s="753"/>
      <c r="O236" s="815">
        <v>28670</v>
      </c>
      <c r="P236" s="753"/>
      <c r="Q236" s="753"/>
      <c r="R236" s="753"/>
      <c r="S236" s="753"/>
      <c r="T236" s="814">
        <v>38866</v>
      </c>
      <c r="U236" s="814">
        <v>33729</v>
      </c>
      <c r="V236" s="815">
        <v>37707</v>
      </c>
      <c r="W236" s="815">
        <v>40586</v>
      </c>
      <c r="X236" s="1026">
        <v>42052</v>
      </c>
      <c r="Y236" s="137"/>
      <c r="Z236" s="137"/>
      <c r="AA236" s="579"/>
    </row>
    <row r="237" spans="1:27">
      <c r="A237" s="1395"/>
      <c r="B237" s="1379"/>
      <c r="C237" s="1411" t="s">
        <v>345</v>
      </c>
      <c r="D237" s="1411"/>
      <c r="E237" s="134"/>
      <c r="F237" s="134"/>
      <c r="G237" s="134"/>
      <c r="H237" s="134"/>
      <c r="I237" s="134"/>
      <c r="J237" s="754">
        <f>(14897)</f>
        <v>14897</v>
      </c>
      <c r="K237" s="753"/>
      <c r="L237" s="753"/>
      <c r="M237" s="753"/>
      <c r="N237" s="753"/>
      <c r="O237" s="752">
        <f>(16317)</f>
        <v>16317</v>
      </c>
      <c r="P237" s="753"/>
      <c r="Q237" s="753"/>
      <c r="R237" s="753"/>
      <c r="S237" s="753"/>
      <c r="T237" s="754">
        <f>(21977)</f>
        <v>21977</v>
      </c>
      <c r="U237" s="754">
        <f>(19386)</f>
        <v>19386</v>
      </c>
      <c r="V237" s="752">
        <f>(21529)</f>
        <v>21529</v>
      </c>
      <c r="W237" s="752">
        <f>(23011)</f>
        <v>23011</v>
      </c>
      <c r="X237" s="844">
        <v>23699</v>
      </c>
      <c r="Y237" s="137"/>
      <c r="Z237" s="137"/>
    </row>
    <row r="238" spans="1:27">
      <c r="A238" s="1395"/>
      <c r="B238" s="1379"/>
      <c r="C238" s="1411" t="s">
        <v>346</v>
      </c>
      <c r="D238" s="1411"/>
      <c r="E238" s="134"/>
      <c r="F238" s="134"/>
      <c r="G238" s="134"/>
      <c r="H238" s="134"/>
      <c r="I238" s="134"/>
      <c r="J238" s="754">
        <f>(11569)</f>
        <v>11569</v>
      </c>
      <c r="K238" s="753"/>
      <c r="L238" s="753"/>
      <c r="M238" s="753"/>
      <c r="N238" s="753"/>
      <c r="O238" s="752">
        <f>(12353)</f>
        <v>12353</v>
      </c>
      <c r="P238" s="753"/>
      <c r="Q238" s="753"/>
      <c r="R238" s="753"/>
      <c r="S238" s="753"/>
      <c r="T238" s="754">
        <f>(16889)</f>
        <v>16889</v>
      </c>
      <c r="U238" s="754">
        <f>(14343)</f>
        <v>14343</v>
      </c>
      <c r="V238" s="752">
        <f>(16178)</f>
        <v>16178</v>
      </c>
      <c r="W238" s="752">
        <f>(17575)</f>
        <v>17575</v>
      </c>
      <c r="X238" s="844">
        <v>18353</v>
      </c>
      <c r="Y238" s="137"/>
      <c r="Z238" s="137"/>
    </row>
    <row r="239" spans="1:27">
      <c r="A239" s="1395"/>
      <c r="B239" s="1379"/>
      <c r="C239" s="1377" t="s">
        <v>422</v>
      </c>
      <c r="D239" s="1377"/>
      <c r="E239" s="134"/>
      <c r="F239" s="134"/>
      <c r="G239" s="134"/>
      <c r="H239" s="134"/>
      <c r="I239" s="134"/>
      <c r="J239" s="816">
        <f>+J238-J237</f>
        <v>-3328</v>
      </c>
      <c r="K239" s="753"/>
      <c r="L239" s="753"/>
      <c r="M239" s="753"/>
      <c r="N239" s="753"/>
      <c r="O239" s="752">
        <f>+O238-O237</f>
        <v>-3964</v>
      </c>
      <c r="P239" s="753"/>
      <c r="Q239" s="753"/>
      <c r="R239" s="753"/>
      <c r="S239" s="753"/>
      <c r="T239" s="996">
        <f>+T238-T237</f>
        <v>-5088</v>
      </c>
      <c r="U239" s="996">
        <f>+U238-U237</f>
        <v>-5043</v>
      </c>
      <c r="V239" s="996">
        <f>+V238-V237</f>
        <v>-5351</v>
      </c>
      <c r="W239" s="996">
        <f>W238-W237</f>
        <v>-5436</v>
      </c>
      <c r="X239" s="1027">
        <f>X238-X237</f>
        <v>-5346</v>
      </c>
      <c r="Y239" s="722"/>
      <c r="Z239" s="722"/>
    </row>
    <row r="240" spans="1:27" ht="15" thickBot="1">
      <c r="A240" s="1395"/>
      <c r="B240" s="1379"/>
      <c r="C240" s="1377" t="s">
        <v>289</v>
      </c>
      <c r="D240" s="1377" t="s">
        <v>730</v>
      </c>
      <c r="E240" s="134"/>
      <c r="F240" s="134"/>
      <c r="G240" s="134"/>
      <c r="H240" s="134"/>
      <c r="I240" s="134"/>
      <c r="J240" s="185">
        <f>+J238/J236*100</f>
        <v>43.71268797702713</v>
      </c>
      <c r="K240" s="134"/>
      <c r="L240" s="134"/>
      <c r="M240" s="134"/>
      <c r="N240" s="134"/>
      <c r="O240" s="185">
        <f t="shared" ref="O240" si="18">+O238/O236*100</f>
        <v>43.086850366236483</v>
      </c>
      <c r="P240" s="753"/>
      <c r="Q240" s="753"/>
      <c r="R240" s="753"/>
      <c r="S240" s="753"/>
      <c r="T240" s="185">
        <f t="shared" ref="T240:W240" si="19">+T238/T236*100</f>
        <v>43.454433180672055</v>
      </c>
      <c r="U240" s="185">
        <f t="shared" si="19"/>
        <v>42.524237303210889</v>
      </c>
      <c r="V240" s="185">
        <f t="shared" si="19"/>
        <v>42.904500490625082</v>
      </c>
      <c r="W240" s="185">
        <f t="shared" si="19"/>
        <v>43.303109446607202</v>
      </c>
      <c r="X240" s="1028">
        <f>+X238/X236*100</f>
        <v>43.643584133929423</v>
      </c>
      <c r="Y240" s="722"/>
      <c r="Z240" s="722"/>
    </row>
    <row r="241" spans="1:28" ht="16" thickBot="1">
      <c r="A241" s="1395"/>
      <c r="B241" s="1380" t="s">
        <v>246</v>
      </c>
      <c r="C241" s="1399"/>
      <c r="D241" s="188"/>
      <c r="E241" s="179">
        <v>2005</v>
      </c>
      <c r="F241" s="180">
        <v>2006</v>
      </c>
      <c r="G241" s="180">
        <v>2007</v>
      </c>
      <c r="H241" s="180">
        <v>2008</v>
      </c>
      <c r="I241" s="180">
        <v>2009</v>
      </c>
      <c r="J241" s="179">
        <v>2010</v>
      </c>
      <c r="K241" s="179">
        <v>2011</v>
      </c>
      <c r="L241" s="179">
        <v>2012</v>
      </c>
      <c r="M241" s="179">
        <v>2013</v>
      </c>
      <c r="N241" s="179">
        <v>2014</v>
      </c>
      <c r="O241" s="179">
        <v>2015</v>
      </c>
      <c r="P241" s="179">
        <v>2016</v>
      </c>
      <c r="Q241" s="179">
        <v>2017</v>
      </c>
      <c r="R241" s="179">
        <v>2018</v>
      </c>
      <c r="S241" s="179">
        <v>2019</v>
      </c>
      <c r="T241" s="179">
        <v>2020</v>
      </c>
      <c r="U241" s="179">
        <v>2021</v>
      </c>
      <c r="V241" s="179">
        <v>2022</v>
      </c>
      <c r="W241" s="179">
        <v>2023</v>
      </c>
      <c r="X241" s="1018">
        <v>2024</v>
      </c>
      <c r="Y241" s="722"/>
      <c r="Z241" s="722"/>
    </row>
    <row r="242" spans="1:28">
      <c r="A242" s="1395"/>
      <c r="B242" s="1439" t="s">
        <v>731</v>
      </c>
      <c r="C242" s="1442" t="s">
        <v>416</v>
      </c>
      <c r="D242" s="1384"/>
      <c r="E242" s="817">
        <v>10</v>
      </c>
      <c r="F242" s="817"/>
      <c r="G242" s="817"/>
      <c r="H242" s="817"/>
      <c r="I242" s="817"/>
      <c r="J242" s="817">
        <v>8</v>
      </c>
      <c r="K242" s="817"/>
      <c r="L242" s="817"/>
      <c r="M242" s="817"/>
      <c r="N242" s="817"/>
      <c r="O242" s="817">
        <v>4</v>
      </c>
      <c r="P242" s="817"/>
      <c r="Q242" s="817"/>
      <c r="R242" s="817"/>
      <c r="S242" s="817"/>
      <c r="T242" s="817">
        <v>1</v>
      </c>
      <c r="U242" s="817">
        <v>10</v>
      </c>
      <c r="V242" s="817">
        <v>14</v>
      </c>
      <c r="W242" s="817">
        <v>23</v>
      </c>
      <c r="X242" s="1029">
        <v>18</v>
      </c>
    </row>
    <row r="243" spans="1:28">
      <c r="A243" s="1395"/>
      <c r="B243" s="1440"/>
      <c r="C243" s="1443" t="s">
        <v>345</v>
      </c>
      <c r="D243" s="1386"/>
      <c r="E243" s="754">
        <v>9</v>
      </c>
      <c r="F243" s="754"/>
      <c r="G243" s="754"/>
      <c r="H243" s="754"/>
      <c r="I243" s="754"/>
      <c r="J243" s="754">
        <v>6</v>
      </c>
      <c r="K243" s="754"/>
      <c r="L243" s="754"/>
      <c r="M243" s="754"/>
      <c r="N243" s="754"/>
      <c r="O243" s="754">
        <v>4</v>
      </c>
      <c r="P243" s="754"/>
      <c r="Q243" s="754"/>
      <c r="R243" s="754"/>
      <c r="S243" s="754"/>
      <c r="T243" s="754">
        <v>1</v>
      </c>
      <c r="U243" s="754">
        <v>7</v>
      </c>
      <c r="V243" s="754">
        <v>9</v>
      </c>
      <c r="W243" s="754">
        <v>19</v>
      </c>
      <c r="X243" s="1030">
        <v>5</v>
      </c>
    </row>
    <row r="244" spans="1:28">
      <c r="A244" s="1395"/>
      <c r="B244" s="1440"/>
      <c r="C244" s="1443" t="s">
        <v>346</v>
      </c>
      <c r="D244" s="1386"/>
      <c r="E244" s="754">
        <v>1</v>
      </c>
      <c r="F244" s="754"/>
      <c r="G244" s="754"/>
      <c r="H244" s="754"/>
      <c r="I244" s="754"/>
      <c r="J244" s="754">
        <v>2</v>
      </c>
      <c r="K244" s="754"/>
      <c r="L244" s="754"/>
      <c r="M244" s="754"/>
      <c r="N244" s="754"/>
      <c r="O244" s="754">
        <v>0</v>
      </c>
      <c r="P244" s="754"/>
      <c r="Q244" s="754"/>
      <c r="R244" s="754"/>
      <c r="S244" s="754"/>
      <c r="T244" s="754">
        <v>0</v>
      </c>
      <c r="U244" s="754">
        <v>3</v>
      </c>
      <c r="V244" s="754">
        <v>5</v>
      </c>
      <c r="W244" s="754">
        <v>4</v>
      </c>
      <c r="X244" s="1030">
        <v>2</v>
      </c>
    </row>
    <row r="245" spans="1:28" ht="15" thickBot="1">
      <c r="A245" s="1395"/>
      <c r="B245" s="1441"/>
      <c r="C245" s="1444" t="s">
        <v>289</v>
      </c>
      <c r="D245" s="1394"/>
      <c r="E245" s="185">
        <f>+E244/E242*100</f>
        <v>10</v>
      </c>
      <c r="F245" s="754"/>
      <c r="G245" s="754"/>
      <c r="H245" s="754"/>
      <c r="I245" s="754"/>
      <c r="J245" s="185">
        <f t="shared" ref="J245:O245" si="20">+J244/J242*100</f>
        <v>25</v>
      </c>
      <c r="K245" s="754"/>
      <c r="L245" s="754"/>
      <c r="M245" s="754"/>
      <c r="N245" s="754"/>
      <c r="O245" s="185">
        <f t="shared" si="20"/>
        <v>0</v>
      </c>
      <c r="P245" s="454"/>
      <c r="Q245" s="454"/>
      <c r="R245" s="454"/>
      <c r="S245" s="454"/>
      <c r="T245" s="185">
        <f t="shared" ref="T245" si="21">+T244/T242*100</f>
        <v>0</v>
      </c>
      <c r="U245" s="185">
        <f t="shared" ref="U245" si="22">+U244/U242*100</f>
        <v>30</v>
      </c>
      <c r="V245" s="185">
        <f t="shared" ref="V245" si="23">+V244/V242*100</f>
        <v>35.714285714285715</v>
      </c>
      <c r="W245" s="185">
        <f t="shared" ref="W245:X245" si="24">+W244/W242*100</f>
        <v>17.391304347826086</v>
      </c>
      <c r="X245" s="1028">
        <f t="shared" si="24"/>
        <v>11.111111111111111</v>
      </c>
    </row>
    <row r="246" spans="1:28" ht="16" thickBot="1">
      <c r="A246" s="247" t="s">
        <v>285</v>
      </c>
      <c r="B246" s="1406" t="s">
        <v>246</v>
      </c>
      <c r="C246" s="1407"/>
      <c r="D246" s="283"/>
      <c r="E246" s="285">
        <v>2005</v>
      </c>
      <c r="F246" s="286">
        <v>2006</v>
      </c>
      <c r="G246" s="286">
        <v>2007</v>
      </c>
      <c r="H246" s="286">
        <v>2008</v>
      </c>
      <c r="I246" s="286">
        <v>2009</v>
      </c>
      <c r="J246" s="285">
        <v>2010</v>
      </c>
      <c r="K246" s="285">
        <v>2011</v>
      </c>
      <c r="L246" s="285">
        <v>2012</v>
      </c>
      <c r="M246" s="285">
        <v>2013</v>
      </c>
      <c r="N246" s="285">
        <v>2014</v>
      </c>
      <c r="O246" s="285">
        <v>2015</v>
      </c>
      <c r="P246" s="285">
        <v>2016</v>
      </c>
      <c r="Q246" s="285">
        <v>2017</v>
      </c>
      <c r="R246" s="285">
        <v>2018</v>
      </c>
      <c r="S246" s="285">
        <v>2019</v>
      </c>
      <c r="T246" s="285">
        <v>2020</v>
      </c>
      <c r="U246" s="285">
        <v>2021</v>
      </c>
      <c r="V246" s="285">
        <v>2022</v>
      </c>
      <c r="W246" s="285">
        <v>2023</v>
      </c>
      <c r="X246" s="1031">
        <v>2024</v>
      </c>
      <c r="Y246" s="648"/>
      <c r="Z246" s="648"/>
      <c r="AA246" s="648"/>
      <c r="AB246" s="648"/>
    </row>
    <row r="247" spans="1:28">
      <c r="A247" s="1395" t="s">
        <v>183</v>
      </c>
      <c r="B247" s="1291" t="s">
        <v>732</v>
      </c>
      <c r="C247" s="1408" t="s">
        <v>416</v>
      </c>
      <c r="D247" s="1409"/>
      <c r="E247" s="168"/>
      <c r="F247" s="168"/>
      <c r="G247" s="168"/>
      <c r="H247" s="168"/>
      <c r="I247" s="168"/>
      <c r="J247" s="404">
        <v>419336</v>
      </c>
      <c r="K247" s="190"/>
      <c r="L247" s="190"/>
      <c r="M247" s="190"/>
      <c r="N247" s="190"/>
      <c r="O247" s="404">
        <v>445931</v>
      </c>
      <c r="P247" s="190"/>
      <c r="Q247" s="190"/>
      <c r="R247" s="190"/>
      <c r="S247" s="190"/>
      <c r="T247" s="404">
        <v>502044</v>
      </c>
      <c r="U247" s="404">
        <v>476584</v>
      </c>
      <c r="V247" s="404">
        <v>559540</v>
      </c>
      <c r="W247" s="404">
        <v>589656</v>
      </c>
      <c r="X247" s="1032"/>
      <c r="Y247" s="648"/>
      <c r="Z247" s="648"/>
      <c r="AA247" s="648"/>
      <c r="AB247" s="648"/>
    </row>
    <row r="248" spans="1:28">
      <c r="A248" s="1395"/>
      <c r="B248" s="1292"/>
      <c r="C248" s="1410" t="s">
        <v>345</v>
      </c>
      <c r="D248" s="1411"/>
      <c r="E248" s="134"/>
      <c r="F248" s="134"/>
      <c r="G248" s="134"/>
      <c r="H248" s="134"/>
      <c r="I248" s="134"/>
      <c r="J248" s="820">
        <v>317447</v>
      </c>
      <c r="K248" s="820"/>
      <c r="L248" s="820"/>
      <c r="M248" s="820"/>
      <c r="N248" s="820"/>
      <c r="O248" s="820">
        <v>330832</v>
      </c>
      <c r="P248" s="820"/>
      <c r="Q248" s="820"/>
      <c r="R248" s="820"/>
      <c r="S248" s="820"/>
      <c r="T248" s="820">
        <v>364487</v>
      </c>
      <c r="U248" s="820">
        <v>342294</v>
      </c>
      <c r="V248" s="820">
        <v>406414</v>
      </c>
      <c r="W248" s="820">
        <v>427140</v>
      </c>
      <c r="X248" s="1030"/>
      <c r="Y248" s="648"/>
      <c r="Z248" s="648"/>
      <c r="AA248" s="648"/>
      <c r="AB248" s="648"/>
    </row>
    <row r="249" spans="1:28">
      <c r="A249" s="1395"/>
      <c r="B249" s="1292"/>
      <c r="C249" s="1410" t="s">
        <v>346</v>
      </c>
      <c r="D249" s="1411"/>
      <c r="E249" s="134"/>
      <c r="F249" s="134"/>
      <c r="G249" s="134"/>
      <c r="H249" s="134"/>
      <c r="I249" s="134"/>
      <c r="J249" s="820">
        <v>101889</v>
      </c>
      <c r="K249" s="134"/>
      <c r="L249" s="134"/>
      <c r="M249" s="134"/>
      <c r="N249" s="134"/>
      <c r="O249" s="820">
        <v>115099</v>
      </c>
      <c r="P249" s="820"/>
      <c r="Q249" s="820"/>
      <c r="R249" s="820"/>
      <c r="S249" s="820"/>
      <c r="T249" s="820">
        <v>137557</v>
      </c>
      <c r="U249" s="820">
        <v>134290</v>
      </c>
      <c r="V249" s="820">
        <v>153126</v>
      </c>
      <c r="W249" s="820">
        <v>162516</v>
      </c>
      <c r="X249" s="1033"/>
      <c r="Z249" s="648"/>
      <c r="AA249" s="648"/>
      <c r="AB249" s="648"/>
    </row>
    <row r="250" spans="1:28">
      <c r="A250" s="1395"/>
      <c r="B250" s="1292"/>
      <c r="C250" s="1412" t="s">
        <v>422</v>
      </c>
      <c r="D250" s="1377"/>
      <c r="E250" s="134"/>
      <c r="F250" s="134"/>
      <c r="G250" s="134"/>
      <c r="H250" s="134"/>
      <c r="I250" s="134"/>
      <c r="J250" s="821">
        <f>+J249-J248</f>
        <v>-215558</v>
      </c>
      <c r="K250" s="134"/>
      <c r="L250" s="134"/>
      <c r="M250" s="134"/>
      <c r="N250" s="134"/>
      <c r="O250" s="821">
        <f t="shared" ref="O250" si="25">+O249-O248</f>
        <v>-215733</v>
      </c>
      <c r="P250" s="193"/>
      <c r="Q250" s="193"/>
      <c r="R250" s="193"/>
      <c r="S250" s="193"/>
      <c r="T250" s="821">
        <f t="shared" ref="T250" si="26">+T249-T248</f>
        <v>-226930</v>
      </c>
      <c r="U250" s="821">
        <f t="shared" ref="U250" si="27">+U249-U248</f>
        <v>-208004</v>
      </c>
      <c r="V250" s="821">
        <f t="shared" ref="V250:W250" si="28">+V249-V248</f>
        <v>-253288</v>
      </c>
      <c r="W250" s="821">
        <f t="shared" si="28"/>
        <v>-264624</v>
      </c>
      <c r="X250" s="1033"/>
      <c r="Y250" s="648"/>
      <c r="Z250" s="648"/>
      <c r="AA250" s="648"/>
      <c r="AB250" s="648"/>
    </row>
    <row r="251" spans="1:28" ht="15" thickBot="1">
      <c r="A251" s="1395"/>
      <c r="B251" s="1292"/>
      <c r="C251" s="1391" t="s">
        <v>289</v>
      </c>
      <c r="D251" s="1392"/>
      <c r="E251" s="162"/>
      <c r="F251" s="162"/>
      <c r="G251" s="162"/>
      <c r="H251" s="162"/>
      <c r="I251" s="162"/>
      <c r="J251" s="185">
        <f>+J249/J247*100</f>
        <v>24.297699219718794</v>
      </c>
      <c r="K251" s="162"/>
      <c r="L251" s="162"/>
      <c r="M251" s="162"/>
      <c r="N251" s="162"/>
      <c r="O251" s="185">
        <f t="shared" ref="O251" si="29">+O249/O247*100</f>
        <v>25.81094384557252</v>
      </c>
      <c r="P251" s="822"/>
      <c r="Q251" s="822"/>
      <c r="R251" s="822"/>
      <c r="S251" s="822"/>
      <c r="T251" s="185">
        <f t="shared" ref="T251:W251" si="30">+T249/T247*100</f>
        <v>27.399391288412968</v>
      </c>
      <c r="U251" s="185">
        <f t="shared" si="30"/>
        <v>28.177614019774062</v>
      </c>
      <c r="V251" s="185">
        <f t="shared" si="30"/>
        <v>27.3664081209565</v>
      </c>
      <c r="W251" s="185">
        <f t="shared" si="30"/>
        <v>27.561154300134316</v>
      </c>
      <c r="X251" s="1034"/>
      <c r="Y251" s="648"/>
      <c r="Z251" s="648"/>
      <c r="AA251" s="648"/>
      <c r="AB251" s="648"/>
    </row>
    <row r="252" spans="1:28">
      <c r="A252" s="1395"/>
      <c r="B252" s="1292"/>
      <c r="C252" s="1408" t="s">
        <v>733</v>
      </c>
      <c r="D252" s="1409"/>
      <c r="E252" s="168"/>
      <c r="F252" s="168"/>
      <c r="G252" s="168"/>
      <c r="H252" s="168"/>
      <c r="I252" s="168"/>
      <c r="J252" s="829">
        <v>83.333333333333343</v>
      </c>
      <c r="K252" s="168"/>
      <c r="L252" s="168"/>
      <c r="M252" s="168"/>
      <c r="N252" s="168"/>
      <c r="O252" s="829">
        <v>80.303030303030297</v>
      </c>
      <c r="P252" s="190"/>
      <c r="Q252" s="190"/>
      <c r="R252" s="190"/>
      <c r="S252" s="190"/>
      <c r="T252" s="829">
        <v>81.818181818181827</v>
      </c>
      <c r="U252" s="829">
        <v>81.818181818181827</v>
      </c>
      <c r="V252" s="829">
        <v>80.303030303030297</v>
      </c>
      <c r="W252" s="829">
        <f>100-(W253+W254)</f>
        <v>80</v>
      </c>
      <c r="X252" s="1032"/>
      <c r="Y252" s="648"/>
      <c r="Z252" s="648"/>
      <c r="AA252" s="648"/>
      <c r="AB252" s="648"/>
    </row>
    <row r="253" spans="1:28">
      <c r="A253" s="1395"/>
      <c r="B253" s="1292"/>
      <c r="C253" s="1413" t="s">
        <v>734</v>
      </c>
      <c r="D253" s="1414"/>
      <c r="E253" s="134"/>
      <c r="F253" s="134"/>
      <c r="G253" s="134"/>
      <c r="H253" s="134"/>
      <c r="I253" s="134"/>
      <c r="J253" s="830">
        <v>3.0303030303030303</v>
      </c>
      <c r="K253" s="134"/>
      <c r="L253" s="134"/>
      <c r="M253" s="134"/>
      <c r="N253" s="134"/>
      <c r="O253" s="830">
        <v>6.0606060606060606</v>
      </c>
      <c r="P253" s="176"/>
      <c r="Q253" s="176"/>
      <c r="R253" s="176"/>
      <c r="S253" s="176"/>
      <c r="T253" s="830">
        <v>7.5757575757575761</v>
      </c>
      <c r="U253" s="830">
        <v>6.0606060606060606</v>
      </c>
      <c r="V253" s="830">
        <v>6.0606060606060606</v>
      </c>
      <c r="W253" s="830">
        <f>5*100/65</f>
        <v>7.6923076923076925</v>
      </c>
      <c r="X253" s="1035"/>
      <c r="Y253" s="648"/>
      <c r="Z253" s="648"/>
      <c r="AA253" s="648"/>
      <c r="AB253" s="648"/>
    </row>
    <row r="254" spans="1:28" ht="15" thickBot="1">
      <c r="A254" s="1395"/>
      <c r="B254" s="1292"/>
      <c r="C254" s="1415" t="s">
        <v>735</v>
      </c>
      <c r="D254" s="1416"/>
      <c r="E254" s="191"/>
      <c r="F254" s="191"/>
      <c r="G254" s="191"/>
      <c r="H254" s="191"/>
      <c r="I254" s="191"/>
      <c r="J254" s="831">
        <v>12.121212121212121</v>
      </c>
      <c r="K254" s="191"/>
      <c r="L254" s="191"/>
      <c r="M254" s="191"/>
      <c r="N254" s="191"/>
      <c r="O254" s="831">
        <v>10.606060606060606</v>
      </c>
      <c r="P254" s="832"/>
      <c r="Q254" s="832"/>
      <c r="R254" s="832"/>
      <c r="S254" s="832"/>
      <c r="T254" s="831">
        <v>9.0909090909090917</v>
      </c>
      <c r="U254" s="831">
        <v>10.606060606060606</v>
      </c>
      <c r="V254" s="831">
        <v>12.121212121212121</v>
      </c>
      <c r="W254" s="831">
        <f>8*100/65</f>
        <v>12.307692307692308</v>
      </c>
      <c r="X254" s="1036"/>
      <c r="Y254" s="648"/>
      <c r="Z254" s="648"/>
      <c r="AA254" s="648"/>
      <c r="AB254" s="648"/>
    </row>
    <row r="255" spans="1:28" ht="16" thickBot="1">
      <c r="A255" s="1395"/>
      <c r="B255" s="1417" t="s">
        <v>246</v>
      </c>
      <c r="C255" s="1417"/>
      <c r="D255" s="738"/>
      <c r="E255" s="823">
        <v>2005</v>
      </c>
      <c r="F255" s="824">
        <v>2006</v>
      </c>
      <c r="G255" s="824">
        <v>2007</v>
      </c>
      <c r="H255" s="824">
        <v>2008</v>
      </c>
      <c r="I255" s="824">
        <v>2009</v>
      </c>
      <c r="J255" s="823">
        <v>2010</v>
      </c>
      <c r="K255" s="823">
        <v>2011</v>
      </c>
      <c r="L255" s="823">
        <v>2012</v>
      </c>
      <c r="M255" s="823">
        <v>2013</v>
      </c>
      <c r="N255" s="823">
        <v>2014</v>
      </c>
      <c r="O255" s="823">
        <v>2015</v>
      </c>
      <c r="P255" s="823">
        <v>2016</v>
      </c>
      <c r="Q255" s="823">
        <v>2017</v>
      </c>
      <c r="R255" s="823">
        <v>2018</v>
      </c>
      <c r="S255" s="823">
        <v>2019</v>
      </c>
      <c r="T255" s="823">
        <v>2020</v>
      </c>
      <c r="U255" s="823">
        <v>2021</v>
      </c>
      <c r="V255" s="823">
        <v>2022</v>
      </c>
      <c r="W255" s="823">
        <v>2023</v>
      </c>
      <c r="X255" s="1037">
        <v>2024</v>
      </c>
    </row>
    <row r="256" spans="1:28">
      <c r="A256" s="1395"/>
      <c r="B256" s="1418" t="s">
        <v>736</v>
      </c>
      <c r="C256" s="1383" t="s">
        <v>416</v>
      </c>
      <c r="D256" s="1384"/>
      <c r="E256" s="168"/>
      <c r="F256" s="194"/>
      <c r="G256" s="194"/>
      <c r="H256" s="194"/>
      <c r="I256" s="194"/>
      <c r="J256" s="168"/>
      <c r="K256" s="194"/>
      <c r="L256" s="194"/>
      <c r="M256" s="194"/>
      <c r="N256" s="194"/>
      <c r="O256" s="168"/>
      <c r="P256" s="194"/>
      <c r="Q256" s="194"/>
      <c r="R256" s="168"/>
      <c r="S256" s="194"/>
      <c r="T256" s="404">
        <v>57244</v>
      </c>
      <c r="U256" s="404">
        <v>77228</v>
      </c>
      <c r="V256" s="404">
        <v>106739</v>
      </c>
      <c r="W256" s="404">
        <v>129875</v>
      </c>
      <c r="X256" s="1035">
        <f>X257+X258</f>
        <v>140516</v>
      </c>
    </row>
    <row r="257" spans="1:31">
      <c r="A257" s="1395"/>
      <c r="B257" s="1292"/>
      <c r="C257" s="1385" t="s">
        <v>345</v>
      </c>
      <c r="D257" s="1386"/>
      <c r="E257" s="134"/>
      <c r="F257" s="195"/>
      <c r="G257" s="195"/>
      <c r="H257" s="195"/>
      <c r="I257" s="195"/>
      <c r="J257" s="134"/>
      <c r="K257" s="195"/>
      <c r="L257" s="195"/>
      <c r="M257" s="195"/>
      <c r="N257" s="195"/>
      <c r="O257" s="134"/>
      <c r="P257" s="134"/>
      <c r="Q257" s="195"/>
      <c r="R257" s="134"/>
      <c r="S257" s="134"/>
      <c r="T257" s="820">
        <v>29608</v>
      </c>
      <c r="U257" s="820">
        <v>40349</v>
      </c>
      <c r="V257" s="820">
        <v>55460</v>
      </c>
      <c r="W257" s="820">
        <v>66160</v>
      </c>
      <c r="X257" s="1035">
        <v>70573</v>
      </c>
    </row>
    <row r="258" spans="1:31">
      <c r="A258" s="1395"/>
      <c r="B258" s="1292"/>
      <c r="C258" s="1385" t="s">
        <v>346</v>
      </c>
      <c r="D258" s="1386"/>
      <c r="E258" s="134"/>
      <c r="F258" s="195"/>
      <c r="G258" s="195"/>
      <c r="H258" s="195"/>
      <c r="I258" s="195"/>
      <c r="J258" s="134"/>
      <c r="K258" s="195"/>
      <c r="L258" s="195"/>
      <c r="M258" s="195"/>
      <c r="N258" s="195"/>
      <c r="O258" s="134"/>
      <c r="P258" s="195"/>
      <c r="Q258" s="195"/>
      <c r="R258" s="134"/>
      <c r="S258" s="195"/>
      <c r="T258" s="820">
        <v>27636</v>
      </c>
      <c r="U258" s="820">
        <v>36879</v>
      </c>
      <c r="V258" s="820">
        <v>51279</v>
      </c>
      <c r="W258" s="820">
        <v>63715</v>
      </c>
      <c r="X258" s="1035">
        <v>69943</v>
      </c>
    </row>
    <row r="259" spans="1:31">
      <c r="A259" s="1395"/>
      <c r="B259" s="1292"/>
      <c r="C259" s="1393" t="s">
        <v>422</v>
      </c>
      <c r="D259" s="1394"/>
      <c r="E259" s="191"/>
      <c r="F259" s="282"/>
      <c r="G259" s="282"/>
      <c r="H259" s="282"/>
      <c r="I259" s="282"/>
      <c r="J259" s="191"/>
      <c r="K259" s="282"/>
      <c r="L259" s="282"/>
      <c r="M259" s="282"/>
      <c r="N259" s="282"/>
      <c r="O259" s="191"/>
      <c r="P259" s="195"/>
      <c r="Q259" s="195"/>
      <c r="R259" s="134"/>
      <c r="S259" s="195"/>
      <c r="T259" s="821">
        <f>+T258-T257</f>
        <v>-1972</v>
      </c>
      <c r="U259" s="821">
        <f t="shared" ref="U259:X259" si="31">+U258-U257</f>
        <v>-3470</v>
      </c>
      <c r="V259" s="821">
        <f t="shared" si="31"/>
        <v>-4181</v>
      </c>
      <c r="W259" s="821">
        <f t="shared" si="31"/>
        <v>-2445</v>
      </c>
      <c r="X259" s="1038">
        <f t="shared" si="31"/>
        <v>-630</v>
      </c>
    </row>
    <row r="260" spans="1:31" ht="44.15" customHeight="1" thickBot="1">
      <c r="A260" s="1395"/>
      <c r="B260" s="1293"/>
      <c r="C260" s="1389" t="s">
        <v>289</v>
      </c>
      <c r="D260" s="1390"/>
      <c r="E260" s="162"/>
      <c r="F260" s="825"/>
      <c r="G260" s="825"/>
      <c r="H260" s="825"/>
      <c r="I260" s="825"/>
      <c r="J260" s="162"/>
      <c r="K260" s="825"/>
      <c r="L260" s="825"/>
      <c r="M260" s="825"/>
      <c r="N260" s="825"/>
      <c r="O260" s="162"/>
      <c r="P260" s="825"/>
      <c r="Q260" s="825"/>
      <c r="R260" s="162"/>
      <c r="S260" s="825"/>
      <c r="T260" s="185">
        <f>+T258/T256*100</f>
        <v>48.277548738732449</v>
      </c>
      <c r="U260" s="185">
        <f>+U258/U256*100</f>
        <v>47.75340550059564</v>
      </c>
      <c r="V260" s="185">
        <f>+V258/V256*100</f>
        <v>48.041484368412668</v>
      </c>
      <c r="W260" s="185">
        <f>+W258/W256*100</f>
        <v>49.058710298363813</v>
      </c>
      <c r="X260" s="1039">
        <f>+X258/X256*100</f>
        <v>49.775826240428131</v>
      </c>
    </row>
    <row r="261" spans="1:31" ht="37.5" customHeight="1" thickBot="1">
      <c r="A261" s="1395"/>
      <c r="B261" s="1380" t="s">
        <v>246</v>
      </c>
      <c r="C261" s="1380"/>
      <c r="D261" s="169"/>
      <c r="E261" s="170" t="s">
        <v>622</v>
      </c>
      <c r="F261" s="171" t="s">
        <v>623</v>
      </c>
      <c r="G261" s="170" t="s">
        <v>624</v>
      </c>
      <c r="H261" s="171" t="s">
        <v>625</v>
      </c>
      <c r="I261" s="170" t="s">
        <v>626</v>
      </c>
      <c r="J261" s="171" t="s">
        <v>627</v>
      </c>
      <c r="K261" s="170" t="s">
        <v>628</v>
      </c>
      <c r="L261" s="171" t="s">
        <v>629</v>
      </c>
      <c r="M261" s="170" t="s">
        <v>630</v>
      </c>
      <c r="N261" s="171" t="s">
        <v>631</v>
      </c>
      <c r="O261" s="170" t="s">
        <v>632</v>
      </c>
      <c r="P261" s="171" t="s">
        <v>633</v>
      </c>
      <c r="Q261" s="170" t="s">
        <v>634</v>
      </c>
      <c r="R261" s="171" t="s">
        <v>635</v>
      </c>
      <c r="S261" s="171" t="s">
        <v>636</v>
      </c>
      <c r="T261" s="171" t="s">
        <v>637</v>
      </c>
      <c r="U261" s="171" t="s">
        <v>638</v>
      </c>
      <c r="V261" s="171" t="s">
        <v>639</v>
      </c>
      <c r="W261" s="171" t="s">
        <v>640</v>
      </c>
      <c r="X261" s="1005" t="s">
        <v>641</v>
      </c>
    </row>
    <row r="262" spans="1:31">
      <c r="A262" s="1395"/>
      <c r="B262" s="1381" t="s">
        <v>737</v>
      </c>
      <c r="C262" s="1383" t="s">
        <v>416</v>
      </c>
      <c r="D262" s="1384"/>
      <c r="E262" s="168"/>
      <c r="F262" s="168"/>
      <c r="G262" s="168"/>
      <c r="H262" s="168"/>
      <c r="I262" s="168"/>
      <c r="J262" s="168"/>
      <c r="K262" s="168"/>
      <c r="L262" s="168"/>
      <c r="M262" s="168"/>
      <c r="N262" s="168"/>
      <c r="O262" s="197"/>
      <c r="P262" s="197"/>
      <c r="Q262" s="197"/>
      <c r="R262" s="197"/>
      <c r="S262" s="197"/>
      <c r="T262" s="817">
        <v>2295</v>
      </c>
      <c r="U262" s="817">
        <v>8502</v>
      </c>
      <c r="V262" s="834">
        <v>9769</v>
      </c>
      <c r="W262" s="817">
        <f>W263+W264</f>
        <v>9371</v>
      </c>
      <c r="X262" s="1032">
        <f>X263+X264</f>
        <v>9371</v>
      </c>
    </row>
    <row r="263" spans="1:31">
      <c r="A263" s="1395"/>
      <c r="B263" s="1382"/>
      <c r="C263" s="1385" t="s">
        <v>345</v>
      </c>
      <c r="D263" s="1386"/>
      <c r="E263" s="134"/>
      <c r="F263" s="134"/>
      <c r="G263" s="134"/>
      <c r="H263" s="134"/>
      <c r="I263" s="134"/>
      <c r="J263" s="134"/>
      <c r="K263" s="134"/>
      <c r="L263" s="134"/>
      <c r="M263" s="134"/>
      <c r="N263" s="134"/>
      <c r="O263" s="177"/>
      <c r="P263" s="177"/>
      <c r="Q263" s="177"/>
      <c r="R263" s="177"/>
      <c r="S263" s="177"/>
      <c r="T263" s="754">
        <v>1325</v>
      </c>
      <c r="U263" s="754">
        <v>5141</v>
      </c>
      <c r="V263" s="835">
        <v>5848</v>
      </c>
      <c r="W263" s="754">
        <v>5715</v>
      </c>
      <c r="X263" s="1035">
        <v>5685</v>
      </c>
    </row>
    <row r="264" spans="1:31">
      <c r="A264" s="1395"/>
      <c r="B264" s="1382"/>
      <c r="C264" s="1385" t="s">
        <v>346</v>
      </c>
      <c r="D264" s="1386"/>
      <c r="E264" s="134"/>
      <c r="F264" s="134"/>
      <c r="G264" s="134"/>
      <c r="H264" s="134"/>
      <c r="I264" s="134"/>
      <c r="J264" s="134"/>
      <c r="K264" s="134"/>
      <c r="L264" s="134"/>
      <c r="M264" s="134"/>
      <c r="N264" s="134"/>
      <c r="O264" s="177"/>
      <c r="P264" s="177"/>
      <c r="Q264" s="177"/>
      <c r="R264" s="177"/>
      <c r="S264" s="177"/>
      <c r="T264" s="754">
        <v>970</v>
      </c>
      <c r="U264" s="752">
        <v>3361</v>
      </c>
      <c r="V264" s="835">
        <v>3871</v>
      </c>
      <c r="W264" s="752">
        <v>3656</v>
      </c>
      <c r="X264" s="1035">
        <v>3686</v>
      </c>
    </row>
    <row r="265" spans="1:31">
      <c r="A265" s="1395"/>
      <c r="B265" s="1382"/>
      <c r="C265" s="1387" t="s">
        <v>422</v>
      </c>
      <c r="D265" s="1388"/>
      <c r="E265" s="165"/>
      <c r="F265" s="165"/>
      <c r="G265" s="165"/>
      <c r="H265" s="165"/>
      <c r="I265" s="165"/>
      <c r="J265" s="165"/>
      <c r="K265" s="165"/>
      <c r="L265" s="165"/>
      <c r="M265" s="165"/>
      <c r="N265" s="165"/>
      <c r="O265" s="198"/>
      <c r="P265" s="198"/>
      <c r="Q265" s="198"/>
      <c r="R265" s="198"/>
      <c r="S265" s="198"/>
      <c r="T265" s="828">
        <f>+T264-T263</f>
        <v>-355</v>
      </c>
      <c r="U265" s="833">
        <f>+U264-U263</f>
        <v>-1780</v>
      </c>
      <c r="V265" s="833">
        <f>+V264-V263</f>
        <v>-1977</v>
      </c>
      <c r="W265" s="828">
        <f>+W264-W263</f>
        <v>-2059</v>
      </c>
      <c r="X265" s="1040">
        <f>+X264-X263</f>
        <v>-1999</v>
      </c>
    </row>
    <row r="266" spans="1:31" ht="15" thickBot="1">
      <c r="A266" s="1395"/>
      <c r="B266" s="1382"/>
      <c r="C266" s="1389" t="s">
        <v>289</v>
      </c>
      <c r="D266" s="1390"/>
      <c r="E266" s="157"/>
      <c r="F266" s="157"/>
      <c r="G266" s="157"/>
      <c r="H266" s="157"/>
      <c r="I266" s="157"/>
      <c r="J266" s="157"/>
      <c r="K266" s="157"/>
      <c r="L266" s="157"/>
      <c r="M266" s="157"/>
      <c r="N266" s="157"/>
      <c r="O266" s="178"/>
      <c r="P266" s="178"/>
      <c r="Q266" s="178"/>
      <c r="R266" s="178"/>
      <c r="S266" s="178"/>
      <c r="T266" s="185">
        <f>+T264/T262*100</f>
        <v>42.265795206971681</v>
      </c>
      <c r="U266" s="826">
        <f>+U264/U262*100</f>
        <v>39.531874852975768</v>
      </c>
      <c r="V266" s="826">
        <f>+V264/V262*100</f>
        <v>39.625345480601901</v>
      </c>
      <c r="W266" s="185">
        <f>+W264/W262*100</f>
        <v>39.013979297833743</v>
      </c>
      <c r="X266" s="1039">
        <f>+X264/X262*100</f>
        <v>39.334115889446167</v>
      </c>
    </row>
    <row r="267" spans="1:31" ht="36" customHeight="1" thickBot="1">
      <c r="A267" s="1395"/>
      <c r="B267" s="1427" t="s">
        <v>246</v>
      </c>
      <c r="C267" s="1380"/>
      <c r="D267" s="169"/>
      <c r="E267" s="170" t="s">
        <v>622</v>
      </c>
      <c r="F267" s="171" t="s">
        <v>623</v>
      </c>
      <c r="G267" s="170" t="s">
        <v>624</v>
      </c>
      <c r="H267" s="171" t="s">
        <v>625</v>
      </c>
      <c r="I267" s="170" t="s">
        <v>626</v>
      </c>
      <c r="J267" s="171" t="s">
        <v>627</v>
      </c>
      <c r="K267" s="170" t="s">
        <v>628</v>
      </c>
      <c r="L267" s="171" t="s">
        <v>629</v>
      </c>
      <c r="M267" s="170" t="s">
        <v>630</v>
      </c>
      <c r="N267" s="171" t="s">
        <v>631</v>
      </c>
      <c r="O267" s="170" t="s">
        <v>632</v>
      </c>
      <c r="P267" s="171" t="s">
        <v>633</v>
      </c>
      <c r="Q267" s="170" t="s">
        <v>634</v>
      </c>
      <c r="R267" s="171" t="s">
        <v>635</v>
      </c>
      <c r="S267" s="171" t="s">
        <v>636</v>
      </c>
      <c r="T267" s="171" t="s">
        <v>637</v>
      </c>
      <c r="U267" s="171" t="s">
        <v>638</v>
      </c>
      <c r="V267" s="171" t="s">
        <v>639</v>
      </c>
      <c r="W267" s="171" t="s">
        <v>640</v>
      </c>
      <c r="X267" s="1005" t="s">
        <v>641</v>
      </c>
    </row>
    <row r="268" spans="1:31" ht="14.5" customHeight="1">
      <c r="A268" s="1424"/>
      <c r="B268" s="1249" t="s">
        <v>738</v>
      </c>
      <c r="C268" s="1372" t="s">
        <v>739</v>
      </c>
      <c r="D268" s="2" t="s">
        <v>257</v>
      </c>
      <c r="E268" s="72">
        <v>32519</v>
      </c>
      <c r="F268" s="168"/>
      <c r="G268" s="168"/>
      <c r="H268" s="168"/>
      <c r="I268" s="168"/>
      <c r="J268" s="72">
        <v>39599</v>
      </c>
      <c r="K268" s="168"/>
      <c r="L268" s="168"/>
      <c r="M268" s="168"/>
      <c r="N268" s="168"/>
      <c r="O268" s="72">
        <v>50781</v>
      </c>
      <c r="P268" s="168"/>
      <c r="Q268" s="168"/>
      <c r="R268" s="168"/>
      <c r="S268" s="168"/>
      <c r="T268" s="72">
        <v>23632</v>
      </c>
      <c r="U268" s="72">
        <v>6172</v>
      </c>
      <c r="V268" s="1085">
        <v>9841</v>
      </c>
      <c r="W268" s="836">
        <v>35334</v>
      </c>
      <c r="X268" s="1086"/>
      <c r="AB268" s="137"/>
      <c r="AC268" s="137"/>
      <c r="AD268" s="137"/>
      <c r="AE268" s="137"/>
    </row>
    <row r="269" spans="1:31">
      <c r="A269" s="1424"/>
      <c r="B269" s="1250"/>
      <c r="C269" s="1373"/>
      <c r="D269" s="1" t="s">
        <v>258</v>
      </c>
      <c r="E269" s="836">
        <v>19095</v>
      </c>
      <c r="F269" s="134"/>
      <c r="G269" s="134"/>
      <c r="H269" s="134"/>
      <c r="I269" s="134"/>
      <c r="J269" s="836">
        <v>22099</v>
      </c>
      <c r="K269" s="134"/>
      <c r="L269" s="134"/>
      <c r="M269" s="134"/>
      <c r="N269" s="134"/>
      <c r="O269" s="836">
        <v>25803</v>
      </c>
      <c r="P269" s="134"/>
      <c r="Q269" s="134"/>
      <c r="R269" s="134"/>
      <c r="S269" s="134"/>
      <c r="T269" s="836">
        <v>12349</v>
      </c>
      <c r="U269" s="836">
        <v>3012</v>
      </c>
      <c r="V269" s="836">
        <v>5092</v>
      </c>
      <c r="W269" s="1087">
        <v>18466</v>
      </c>
      <c r="X269" s="16"/>
      <c r="Y269"/>
      <c r="Z269" s="137"/>
      <c r="AA269" s="137"/>
      <c r="AB269" s="137"/>
      <c r="AC269" s="137"/>
      <c r="AD269" s="137"/>
      <c r="AE269" s="137"/>
    </row>
    <row r="270" spans="1:31">
      <c r="A270" s="1424"/>
      <c r="B270" s="1250"/>
      <c r="C270" s="1373"/>
      <c r="D270" s="1" t="s">
        <v>259</v>
      </c>
      <c r="E270" s="836">
        <v>13424</v>
      </c>
      <c r="F270" s="134"/>
      <c r="G270" s="134"/>
      <c r="H270" s="134"/>
      <c r="I270" s="134"/>
      <c r="J270" s="836">
        <v>17500</v>
      </c>
      <c r="K270" s="134"/>
      <c r="L270" s="134"/>
      <c r="M270" s="134"/>
      <c r="N270" s="134"/>
      <c r="O270" s="836">
        <v>24978</v>
      </c>
      <c r="P270" s="134"/>
      <c r="Q270" s="134"/>
      <c r="R270" s="134"/>
      <c r="S270" s="134"/>
      <c r="T270" s="836">
        <v>11283</v>
      </c>
      <c r="U270" s="836">
        <v>3160</v>
      </c>
      <c r="V270" s="836">
        <v>4749</v>
      </c>
      <c r="W270" s="836">
        <v>16868</v>
      </c>
      <c r="X270" s="16"/>
      <c r="Y270"/>
      <c r="Z270" s="137"/>
      <c r="AA270" s="137"/>
      <c r="AB270" s="137"/>
      <c r="AC270" s="137"/>
      <c r="AD270" s="137"/>
      <c r="AE270" s="137"/>
    </row>
    <row r="271" spans="1:31">
      <c r="A271" s="1424"/>
      <c r="B271" s="1250"/>
      <c r="C271" s="1373"/>
      <c r="D271" s="451" t="s">
        <v>422</v>
      </c>
      <c r="E271" s="828">
        <f>+E270-E269</f>
        <v>-5671</v>
      </c>
      <c r="F271" s="828"/>
      <c r="G271" s="828"/>
      <c r="H271" s="828"/>
      <c r="I271" s="828"/>
      <c r="J271" s="828">
        <f t="shared" ref="J271" si="32">+J270-J269</f>
        <v>-4599</v>
      </c>
      <c r="K271" s="828"/>
      <c r="L271" s="828"/>
      <c r="M271" s="828"/>
      <c r="N271" s="828"/>
      <c r="O271" s="828">
        <f t="shared" ref="O271" si="33">+O270-O269</f>
        <v>-825</v>
      </c>
      <c r="P271" s="134"/>
      <c r="Q271" s="134"/>
      <c r="R271" s="134"/>
      <c r="S271" s="134"/>
      <c r="T271" s="828">
        <f t="shared" ref="T271" si="34">+T270-T269</f>
        <v>-1066</v>
      </c>
      <c r="U271" s="828">
        <f t="shared" ref="U271" si="35">+U270-U269</f>
        <v>148</v>
      </c>
      <c r="V271" s="828">
        <f t="shared" ref="V271:W271" si="36">+V270-V269</f>
        <v>-343</v>
      </c>
      <c r="W271" s="828">
        <f t="shared" si="36"/>
        <v>-1598</v>
      </c>
      <c r="X271" s="16"/>
      <c r="Y271"/>
      <c r="Z271" s="137"/>
      <c r="AA271" s="137"/>
      <c r="AB271" s="137"/>
      <c r="AC271" s="137"/>
      <c r="AD271" s="137"/>
      <c r="AE271" s="137"/>
    </row>
    <row r="272" spans="1:31" ht="15" thickBot="1">
      <c r="A272" s="1424"/>
      <c r="B272" s="1250"/>
      <c r="C272" s="1374"/>
      <c r="D272" s="837" t="s">
        <v>289</v>
      </c>
      <c r="E272" s="185">
        <f>+E270/E268*100</f>
        <v>41.280482179648821</v>
      </c>
      <c r="F272" s="828"/>
      <c r="G272" s="828"/>
      <c r="H272" s="828"/>
      <c r="I272" s="828"/>
      <c r="J272" s="185">
        <f t="shared" ref="J272" si="37">+J270/J268*100</f>
        <v>44.193035177656</v>
      </c>
      <c r="K272" s="828"/>
      <c r="L272" s="828"/>
      <c r="M272" s="828"/>
      <c r="N272" s="828"/>
      <c r="O272" s="185">
        <f t="shared" ref="O272" si="38">+O270/O268*100</f>
        <v>49.187688308619364</v>
      </c>
      <c r="P272" s="162"/>
      <c r="Q272" s="162"/>
      <c r="R272" s="162"/>
      <c r="S272" s="162"/>
      <c r="T272" s="185">
        <f t="shared" ref="T272:W272" si="39">+T270/T268*100</f>
        <v>47.744583615436696</v>
      </c>
      <c r="U272" s="185">
        <f t="shared" si="39"/>
        <v>51.19896305897602</v>
      </c>
      <c r="V272" s="185">
        <f t="shared" si="39"/>
        <v>48.257290925718934</v>
      </c>
      <c r="W272" s="185">
        <f t="shared" si="39"/>
        <v>47.738721910907337</v>
      </c>
      <c r="X272" s="219"/>
      <c r="Y272"/>
      <c r="Z272" s="648"/>
      <c r="AA272" s="648"/>
      <c r="AB272" s="648"/>
      <c r="AC272" s="648"/>
      <c r="AD272" s="648"/>
      <c r="AE272" s="648"/>
    </row>
    <row r="273" spans="1:31">
      <c r="A273" s="1424"/>
      <c r="B273" s="1250"/>
      <c r="C273" s="1268" t="s">
        <v>740</v>
      </c>
      <c r="D273" s="2" t="s">
        <v>257</v>
      </c>
      <c r="E273" s="72">
        <v>72885</v>
      </c>
      <c r="F273" s="168"/>
      <c r="G273" s="168"/>
      <c r="H273" s="168"/>
      <c r="I273" s="168"/>
      <c r="J273" s="72">
        <v>134403</v>
      </c>
      <c r="K273" s="168"/>
      <c r="L273" s="168"/>
      <c r="M273" s="168"/>
      <c r="N273" s="168"/>
      <c r="O273" s="72">
        <v>135287</v>
      </c>
      <c r="P273" s="168"/>
      <c r="Q273" s="168"/>
      <c r="R273" s="168"/>
      <c r="S273" s="168"/>
      <c r="T273" s="72">
        <v>75783</v>
      </c>
      <c r="U273" s="72">
        <v>35697</v>
      </c>
      <c r="V273" s="72">
        <v>62794</v>
      </c>
      <c r="W273" s="72">
        <v>107897</v>
      </c>
      <c r="X273" s="215"/>
      <c r="AB273" s="137"/>
      <c r="AC273" s="137"/>
      <c r="AD273" s="137"/>
      <c r="AE273" s="137"/>
    </row>
    <row r="274" spans="1:31">
      <c r="A274" s="1424"/>
      <c r="B274" s="1250"/>
      <c r="C274" s="1269"/>
      <c r="D274" s="1" t="s">
        <v>258</v>
      </c>
      <c r="E274" s="836">
        <v>67649</v>
      </c>
      <c r="F274" s="134"/>
      <c r="G274" s="134"/>
      <c r="H274" s="134"/>
      <c r="I274" s="134"/>
      <c r="J274" s="836">
        <v>119786</v>
      </c>
      <c r="K274" s="134"/>
      <c r="L274" s="134"/>
      <c r="M274" s="134"/>
      <c r="N274" s="134"/>
      <c r="O274" s="836">
        <v>115341</v>
      </c>
      <c r="P274" s="134"/>
      <c r="Q274" s="134"/>
      <c r="R274" s="134"/>
      <c r="S274" s="134"/>
      <c r="T274" s="836">
        <v>61641</v>
      </c>
      <c r="U274" s="836">
        <v>27946</v>
      </c>
      <c r="V274" s="836">
        <v>49961</v>
      </c>
      <c r="W274" s="836">
        <v>79774</v>
      </c>
      <c r="X274" s="16"/>
      <c r="Y274"/>
      <c r="Z274" s="137"/>
      <c r="AA274" s="137"/>
      <c r="AB274" s="137"/>
      <c r="AC274" s="137"/>
      <c r="AD274" s="137"/>
      <c r="AE274" s="137"/>
    </row>
    <row r="275" spans="1:31">
      <c r="A275" s="1424"/>
      <c r="B275" s="1250"/>
      <c r="C275" s="1269"/>
      <c r="D275" s="1" t="s">
        <v>259</v>
      </c>
      <c r="E275" s="836">
        <v>5236</v>
      </c>
      <c r="F275" s="134"/>
      <c r="G275" s="134"/>
      <c r="H275" s="134"/>
      <c r="I275" s="134"/>
      <c r="J275" s="836">
        <v>14617</v>
      </c>
      <c r="K275" s="134"/>
      <c r="L275" s="134"/>
      <c r="M275" s="134"/>
      <c r="N275" s="134"/>
      <c r="O275" s="836">
        <v>19946</v>
      </c>
      <c r="P275" s="134"/>
      <c r="Q275" s="134"/>
      <c r="R275" s="134"/>
      <c r="S275" s="134"/>
      <c r="T275" s="836">
        <v>14142</v>
      </c>
      <c r="U275" s="836">
        <v>7751</v>
      </c>
      <c r="V275" s="836">
        <v>12833</v>
      </c>
      <c r="W275" s="836">
        <v>28123</v>
      </c>
      <c r="X275" s="16"/>
      <c r="Y275"/>
      <c r="Z275" s="137"/>
      <c r="AA275" s="137"/>
      <c r="AB275" s="137"/>
      <c r="AC275" s="137"/>
      <c r="AD275" s="137"/>
      <c r="AE275" s="137"/>
    </row>
    <row r="276" spans="1:31">
      <c r="A276" s="1424"/>
      <c r="B276" s="1250"/>
      <c r="C276" s="1269"/>
      <c r="D276" s="451" t="s">
        <v>422</v>
      </c>
      <c r="E276" s="828">
        <f>+E275-E274</f>
        <v>-62413</v>
      </c>
      <c r="F276" s="828"/>
      <c r="G276" s="828"/>
      <c r="H276" s="134"/>
      <c r="I276" s="134"/>
      <c r="J276" s="828">
        <f t="shared" ref="J276" si="40">+J275-J274</f>
        <v>-105169</v>
      </c>
      <c r="K276" s="828"/>
      <c r="L276" s="828"/>
      <c r="M276" s="828"/>
      <c r="N276" s="828"/>
      <c r="O276" s="828">
        <f t="shared" ref="O276" si="41">+O275-O274</f>
        <v>-95395</v>
      </c>
      <c r="P276" s="134"/>
      <c r="Q276" s="134"/>
      <c r="R276" s="134"/>
      <c r="S276" s="134"/>
      <c r="T276" s="828">
        <f t="shared" ref="T276" si="42">+T275-T274</f>
        <v>-47499</v>
      </c>
      <c r="U276" s="828">
        <f t="shared" ref="U276" si="43">+U275-U274</f>
        <v>-20195</v>
      </c>
      <c r="V276" s="828">
        <f t="shared" ref="V276:W276" si="44">+V275-V274</f>
        <v>-37128</v>
      </c>
      <c r="W276" s="828">
        <f t="shared" si="44"/>
        <v>-51651</v>
      </c>
      <c r="X276" s="16"/>
      <c r="Y276"/>
      <c r="Z276" s="137"/>
      <c r="AA276" s="137"/>
      <c r="AB276" s="137"/>
      <c r="AC276" s="137"/>
      <c r="AD276" s="137"/>
      <c r="AE276" s="137"/>
    </row>
    <row r="277" spans="1:31" ht="15" thickBot="1">
      <c r="A277" s="1424"/>
      <c r="B277" s="1251"/>
      <c r="C277" s="1270"/>
      <c r="D277" s="837" t="s">
        <v>289</v>
      </c>
      <c r="E277" s="185">
        <f>+E275/E273*100</f>
        <v>7.1839198737737533</v>
      </c>
      <c r="F277" s="828"/>
      <c r="G277" s="828"/>
      <c r="H277" s="828"/>
      <c r="I277" s="828"/>
      <c r="J277" s="185">
        <f t="shared" ref="J277" si="45">+J275/J273*100</f>
        <v>10.875501290893805</v>
      </c>
      <c r="K277" s="828"/>
      <c r="L277" s="828"/>
      <c r="M277" s="828"/>
      <c r="N277" s="828"/>
      <c r="O277" s="185">
        <f t="shared" ref="O277" si="46">+O275/O273*100</f>
        <v>14.743471286967704</v>
      </c>
      <c r="P277" s="162"/>
      <c r="Q277" s="162"/>
      <c r="R277" s="162"/>
      <c r="S277" s="162"/>
      <c r="T277" s="185">
        <f t="shared" ref="T277:W277" si="47">+T275/T273*100</f>
        <v>18.661177308895134</v>
      </c>
      <c r="U277" s="185">
        <f t="shared" si="47"/>
        <v>21.71330924167297</v>
      </c>
      <c r="V277" s="185">
        <f t="shared" si="47"/>
        <v>20.436665923495877</v>
      </c>
      <c r="W277" s="185">
        <f t="shared" si="47"/>
        <v>26.064672789790261</v>
      </c>
      <c r="X277" s="219"/>
      <c r="Y277"/>
      <c r="Z277" s="648"/>
      <c r="AA277" s="648"/>
      <c r="AB277" s="648"/>
      <c r="AC277" s="648"/>
      <c r="AD277" s="648"/>
      <c r="AE277" s="648"/>
    </row>
    <row r="281" spans="1:31">
      <c r="T281"/>
    </row>
    <row r="282" spans="1:31">
      <c r="T282"/>
      <c r="U282" s="655"/>
    </row>
    <row r="283" spans="1:31">
      <c r="T283"/>
      <c r="U283" s="648"/>
    </row>
    <row r="284" spans="1:31">
      <c r="U284" s="648"/>
    </row>
  </sheetData>
  <mergeCells count="135">
    <mergeCell ref="C230:D230"/>
    <mergeCell ref="C231:D231"/>
    <mergeCell ref="C232:D232"/>
    <mergeCell ref="C233:D233"/>
    <mergeCell ref="C186:C189"/>
    <mergeCell ref="C190:C193"/>
    <mergeCell ref="C194:C196"/>
    <mergeCell ref="B209:B228"/>
    <mergeCell ref="C209:C213"/>
    <mergeCell ref="C214:C218"/>
    <mergeCell ref="C219:C223"/>
    <mergeCell ref="C224:C228"/>
    <mergeCell ref="C114:C117"/>
    <mergeCell ref="C154:C157"/>
    <mergeCell ref="C158:C161"/>
    <mergeCell ref="C162:C165"/>
    <mergeCell ref="C166:C169"/>
    <mergeCell ref="C170:C173"/>
    <mergeCell ref="C174:C177"/>
    <mergeCell ref="C178:C181"/>
    <mergeCell ref="C182:C185"/>
    <mergeCell ref="C118:C121"/>
    <mergeCell ref="C122:C125"/>
    <mergeCell ref="C126:C129"/>
    <mergeCell ref="C130:C133"/>
    <mergeCell ref="C134:C137"/>
    <mergeCell ref="C138:C141"/>
    <mergeCell ref="C142:C145"/>
    <mergeCell ref="C146:C149"/>
    <mergeCell ref="C150:C153"/>
    <mergeCell ref="C90:C93"/>
    <mergeCell ref="C94:C97"/>
    <mergeCell ref="C98:C101"/>
    <mergeCell ref="C102:C104"/>
    <mergeCell ref="C106:D106"/>
    <mergeCell ref="C107:D107"/>
    <mergeCell ref="C108:D108"/>
    <mergeCell ref="C109:D109"/>
    <mergeCell ref="C110:C113"/>
    <mergeCell ref="C54:C57"/>
    <mergeCell ref="C58:C61"/>
    <mergeCell ref="C62:C65"/>
    <mergeCell ref="C66:C69"/>
    <mergeCell ref="C70:C73"/>
    <mergeCell ref="C74:C77"/>
    <mergeCell ref="C78:C81"/>
    <mergeCell ref="C82:C85"/>
    <mergeCell ref="C86:C89"/>
    <mergeCell ref="A3:A109"/>
    <mergeCell ref="B208:C208"/>
    <mergeCell ref="B198:B207"/>
    <mergeCell ref="C198:D198"/>
    <mergeCell ref="C201:D201"/>
    <mergeCell ref="C202:D202"/>
    <mergeCell ref="C203:D203"/>
    <mergeCell ref="C204:D204"/>
    <mergeCell ref="C205:D205"/>
    <mergeCell ref="C206:D206"/>
    <mergeCell ref="C207:D207"/>
    <mergeCell ref="C199:D199"/>
    <mergeCell ref="C200:D200"/>
    <mergeCell ref="C11:D11"/>
    <mergeCell ref="C12:D12"/>
    <mergeCell ref="C14:D14"/>
    <mergeCell ref="C15:D15"/>
    <mergeCell ref="C22:C25"/>
    <mergeCell ref="C26:C29"/>
    <mergeCell ref="C30:C33"/>
    <mergeCell ref="C34:C37"/>
    <mergeCell ref="C38:C41"/>
    <mergeCell ref="C42:C45"/>
    <mergeCell ref="C46:C49"/>
    <mergeCell ref="B13:C13"/>
    <mergeCell ref="C3:C5"/>
    <mergeCell ref="C6:C8"/>
    <mergeCell ref="C9:D9"/>
    <mergeCell ref="C10:D10"/>
    <mergeCell ref="C256:D256"/>
    <mergeCell ref="C257:D257"/>
    <mergeCell ref="B242:B245"/>
    <mergeCell ref="C242:D242"/>
    <mergeCell ref="C243:D243"/>
    <mergeCell ref="C244:D244"/>
    <mergeCell ref="C236:D236"/>
    <mergeCell ref="C237:D237"/>
    <mergeCell ref="C238:D238"/>
    <mergeCell ref="C239:D239"/>
    <mergeCell ref="C245:D245"/>
    <mergeCell ref="B241:C241"/>
    <mergeCell ref="B235:C235"/>
    <mergeCell ref="C16:D16"/>
    <mergeCell ref="C17:D17"/>
    <mergeCell ref="C18:C21"/>
    <mergeCell ref="B229:C229"/>
    <mergeCell ref="B230:B233"/>
    <mergeCell ref="C50:C53"/>
    <mergeCell ref="A236:A245"/>
    <mergeCell ref="A1:D1"/>
    <mergeCell ref="B197:C197"/>
    <mergeCell ref="B105:C105"/>
    <mergeCell ref="B14:B104"/>
    <mergeCell ref="B106:B196"/>
    <mergeCell ref="C258:D258"/>
    <mergeCell ref="B246:C246"/>
    <mergeCell ref="C247:D247"/>
    <mergeCell ref="C248:D248"/>
    <mergeCell ref="C249:D249"/>
    <mergeCell ref="C250:D250"/>
    <mergeCell ref="C252:D252"/>
    <mergeCell ref="C253:D253"/>
    <mergeCell ref="C254:D254"/>
    <mergeCell ref="B247:B254"/>
    <mergeCell ref="B255:C255"/>
    <mergeCell ref="B256:B260"/>
    <mergeCell ref="B2:C2"/>
    <mergeCell ref="B3:B12"/>
    <mergeCell ref="A247:A277"/>
    <mergeCell ref="A198:A234"/>
    <mergeCell ref="B267:C267"/>
    <mergeCell ref="C266:D266"/>
    <mergeCell ref="C268:C272"/>
    <mergeCell ref="C273:C277"/>
    <mergeCell ref="B268:B277"/>
    <mergeCell ref="C234:D234"/>
    <mergeCell ref="C240:D240"/>
    <mergeCell ref="B236:B240"/>
    <mergeCell ref="B261:C261"/>
    <mergeCell ref="B262:B266"/>
    <mergeCell ref="C262:D262"/>
    <mergeCell ref="C263:D263"/>
    <mergeCell ref="C264:D264"/>
    <mergeCell ref="C265:D265"/>
    <mergeCell ref="C260:D260"/>
    <mergeCell ref="C251:D251"/>
    <mergeCell ref="C259:D259"/>
  </mergeCells>
  <phoneticPr fontId="38" type="noConversion"/>
  <conditionalFormatting sqref="C207:X207">
    <cfRule type="cellIs" dxfId="139" priority="6" operator="lessThan">
      <formula>0</formula>
    </cfRule>
  </conditionalFormatting>
  <conditionalFormatting sqref="E224:E227 J224:J227 T240:X240">
    <cfRule type="cellIs" dxfId="138" priority="44" operator="greaterThanOrEqual">
      <formula>50</formula>
    </cfRule>
    <cfRule type="cellIs" dxfId="137" priority="45" operator="lessThan">
      <formula>50</formula>
    </cfRule>
  </conditionalFormatting>
  <conditionalFormatting sqref="E245 J245 O245">
    <cfRule type="cellIs" dxfId="136" priority="99" operator="between">
      <formula>60.1</formula>
      <formula>100</formula>
    </cfRule>
    <cfRule type="cellIs" dxfId="135" priority="100" operator="between">
      <formula>40</formula>
      <formula>60</formula>
    </cfRule>
    <cfRule type="cellIs" dxfId="134" priority="101" operator="between">
      <formula>0</formula>
      <formula>39.9</formula>
    </cfRule>
  </conditionalFormatting>
  <conditionalFormatting sqref="E272 J272 O272">
    <cfRule type="cellIs" dxfId="133" priority="60" operator="between">
      <formula>60.1</formula>
      <formula>100</formula>
    </cfRule>
    <cfRule type="cellIs" dxfId="132" priority="61" operator="between">
      <formula>40</formula>
      <formula>60</formula>
    </cfRule>
    <cfRule type="cellIs" dxfId="131" priority="62" operator="between">
      <formula>0</formula>
      <formula>39.9</formula>
    </cfRule>
  </conditionalFormatting>
  <conditionalFormatting sqref="E277 J277 O277">
    <cfRule type="cellIs" dxfId="130" priority="54" operator="between">
      <formula>60.1</formula>
      <formula>100</formula>
    </cfRule>
    <cfRule type="cellIs" dxfId="129" priority="55" operator="between">
      <formula>40</formula>
      <formula>60</formula>
    </cfRule>
    <cfRule type="cellIs" dxfId="128" priority="56" operator="between">
      <formula>0</formula>
      <formula>39.9</formula>
    </cfRule>
  </conditionalFormatting>
  <conditionalFormatting sqref="E276:G276">
    <cfRule type="cellIs" dxfId="127" priority="48" operator="lessThan">
      <formula>0</formula>
    </cfRule>
  </conditionalFormatting>
  <conditionalFormatting sqref="E271:O271">
    <cfRule type="cellIs" dxfId="126" priority="50" operator="lessThan">
      <formula>0</formula>
    </cfRule>
  </conditionalFormatting>
  <conditionalFormatting sqref="F260:I260 K260:N260 P260:Q260 S260">
    <cfRule type="cellIs" dxfId="125" priority="1315" operator="lessThan">
      <formula>0</formula>
    </cfRule>
    <cfRule type="cellIs" dxfId="124" priority="1316" operator="greaterThan">
      <formula>0</formula>
    </cfRule>
  </conditionalFormatting>
  <conditionalFormatting sqref="F272:I272">
    <cfRule type="cellIs" dxfId="123" priority="24" operator="lessThan">
      <formula>0</formula>
    </cfRule>
  </conditionalFormatting>
  <conditionalFormatting sqref="F277:I277">
    <cfRule type="cellIs" dxfId="122" priority="23" operator="lessThan">
      <formula>0</formula>
    </cfRule>
  </conditionalFormatting>
  <conditionalFormatting sqref="J239">
    <cfRule type="cellIs" dxfId="121" priority="145" operator="lessThan">
      <formula>0</formula>
    </cfRule>
  </conditionalFormatting>
  <conditionalFormatting sqref="J240 O240">
    <cfRule type="cellIs" dxfId="120" priority="29" operator="greaterThanOrEqual">
      <formula>50</formula>
    </cfRule>
    <cfRule type="cellIs" dxfId="119" priority="30" operator="lessThan">
      <formula>50</formula>
    </cfRule>
  </conditionalFormatting>
  <conditionalFormatting sqref="J251 O251">
    <cfRule type="cellIs" dxfId="118" priority="93" operator="between">
      <formula>60.1</formula>
      <formula>100</formula>
    </cfRule>
    <cfRule type="cellIs" dxfId="117" priority="94" operator="between">
      <formula>40</formula>
      <formula>60</formula>
    </cfRule>
    <cfRule type="cellIs" dxfId="116" priority="95" operator="between">
      <formula>0</formula>
      <formula>39.9</formula>
    </cfRule>
  </conditionalFormatting>
  <conditionalFormatting sqref="J276:O276">
    <cfRule type="cellIs" dxfId="115" priority="47" operator="lessThan">
      <formula>0</formula>
    </cfRule>
  </conditionalFormatting>
  <conditionalFormatting sqref="J12:X12">
    <cfRule type="cellIs" dxfId="114" priority="9" operator="lessThan">
      <formula>0</formula>
    </cfRule>
    <cfRule type="cellIs" dxfId="113" priority="10" operator="greaterThan">
      <formula>0</formula>
    </cfRule>
  </conditionalFormatting>
  <conditionalFormatting sqref="K272:N272">
    <cfRule type="cellIs" dxfId="112" priority="22" operator="lessThan">
      <formula>0</formula>
    </cfRule>
  </conditionalFormatting>
  <conditionalFormatting sqref="K277:N277">
    <cfRule type="cellIs" dxfId="111" priority="21" operator="lessThan">
      <formula>0</formula>
    </cfRule>
  </conditionalFormatting>
  <conditionalFormatting sqref="O224:O228">
    <cfRule type="cellIs" dxfId="110" priority="35" operator="greaterThanOrEqual">
      <formula>50</formula>
    </cfRule>
    <cfRule type="cellIs" dxfId="109" priority="36" operator="lessThan">
      <formula>50</formula>
    </cfRule>
  </conditionalFormatting>
  <conditionalFormatting sqref="O239">
    <cfRule type="cellIs" dxfId="108" priority="144" operator="lessThan">
      <formula>0</formula>
    </cfRule>
  </conditionalFormatting>
  <conditionalFormatting sqref="O265:S266">
    <cfRule type="cellIs" dxfId="107" priority="25" operator="lessThan">
      <formula>0</formula>
    </cfRule>
  </conditionalFormatting>
  <conditionalFormatting sqref="O252:W254">
    <cfRule type="cellIs" dxfId="106" priority="1" operator="lessThan">
      <formula>0</formula>
    </cfRule>
  </conditionalFormatting>
  <conditionalFormatting sqref="P245:S245">
    <cfRule type="cellIs" dxfId="105" priority="1314" operator="lessThan">
      <formula>0</formula>
    </cfRule>
  </conditionalFormatting>
  <conditionalFormatting sqref="P250:S251 J252:J254">
    <cfRule type="cellIs" dxfId="104" priority="1317" operator="lessThan">
      <formula>0</formula>
    </cfRule>
  </conditionalFormatting>
  <conditionalFormatting sqref="S233:U233">
    <cfRule type="cellIs" dxfId="103" priority="1311" operator="equal">
      <formula>0</formula>
    </cfRule>
    <cfRule type="cellIs" dxfId="102" priority="1312" operator="lessThan">
      <formula>0</formula>
    </cfRule>
    <cfRule type="cellIs" dxfId="101" priority="1313" operator="greaterThan">
      <formula>0</formula>
    </cfRule>
  </conditionalFormatting>
  <conditionalFormatting sqref="S234:U234">
    <cfRule type="cellIs" dxfId="100" priority="31" operator="greaterThanOrEqual">
      <formula>50</formula>
    </cfRule>
    <cfRule type="cellIs" dxfId="99" priority="32" operator="lessThan">
      <formula>50</formula>
    </cfRule>
  </conditionalFormatting>
  <conditionalFormatting sqref="T224:V228">
    <cfRule type="cellIs" dxfId="98" priority="33" operator="greaterThanOrEqual">
      <formula>50</formula>
    </cfRule>
    <cfRule type="cellIs" dxfId="97" priority="34" operator="lessThan">
      <formula>50</formula>
    </cfRule>
  </conditionalFormatting>
  <conditionalFormatting sqref="T239:V239">
    <cfRule type="cellIs" dxfId="96" priority="143" operator="lessThan">
      <formula>0</formula>
    </cfRule>
  </conditionalFormatting>
  <conditionalFormatting sqref="T251:W251">
    <cfRule type="cellIs" dxfId="95" priority="90" operator="between">
      <formula>60.1</formula>
      <formula>100</formula>
    </cfRule>
    <cfRule type="cellIs" dxfId="94" priority="91" operator="between">
      <formula>40</formula>
      <formula>60</formula>
    </cfRule>
    <cfRule type="cellIs" dxfId="93" priority="92" operator="between">
      <formula>0</formula>
      <formula>39.9</formula>
    </cfRule>
  </conditionalFormatting>
  <conditionalFormatting sqref="T271:W271">
    <cfRule type="cellIs" dxfId="92" priority="49" operator="lessThan">
      <formula>0</formula>
    </cfRule>
  </conditionalFormatting>
  <conditionalFormatting sqref="T272:W272">
    <cfRule type="cellIs" dxfId="91" priority="57" operator="between">
      <formula>60.1</formula>
      <formula>100</formula>
    </cfRule>
    <cfRule type="cellIs" dxfId="90" priority="58" operator="between">
      <formula>40</formula>
      <formula>60</formula>
    </cfRule>
    <cfRule type="cellIs" dxfId="89" priority="59" operator="between">
      <formula>0</formula>
      <formula>39.9</formula>
    </cfRule>
  </conditionalFormatting>
  <conditionalFormatting sqref="T276:W276">
    <cfRule type="cellIs" dxfId="88" priority="46" operator="lessThan">
      <formula>0</formula>
    </cfRule>
  </conditionalFormatting>
  <conditionalFormatting sqref="T277:W277">
    <cfRule type="cellIs" dxfId="87" priority="51" operator="between">
      <formula>60.1</formula>
      <formula>100</formula>
    </cfRule>
    <cfRule type="cellIs" dxfId="86" priority="52" operator="between">
      <formula>40</formula>
      <formula>60</formula>
    </cfRule>
    <cfRule type="cellIs" dxfId="85" priority="53" operator="between">
      <formula>0</formula>
      <formula>39.9</formula>
    </cfRule>
  </conditionalFormatting>
  <conditionalFormatting sqref="T245:X245">
    <cfRule type="cellIs" dxfId="84" priority="96" operator="between">
      <formula>60.1</formula>
      <formula>100</formula>
    </cfRule>
    <cfRule type="cellIs" dxfId="83" priority="97" operator="between">
      <formula>40</formula>
      <formula>60</formula>
    </cfRule>
    <cfRule type="cellIs" dxfId="82" priority="98" operator="between">
      <formula>0</formula>
      <formula>39.9</formula>
    </cfRule>
  </conditionalFormatting>
  <conditionalFormatting sqref="T260:X260">
    <cfRule type="cellIs" dxfId="81" priority="87" operator="between">
      <formula>60.1</formula>
      <formula>100</formula>
    </cfRule>
    <cfRule type="cellIs" dxfId="80" priority="88" operator="between">
      <formula>40</formula>
      <formula>60</formula>
    </cfRule>
    <cfRule type="cellIs" dxfId="79" priority="89" operator="between">
      <formula>0</formula>
      <formula>39.9</formula>
    </cfRule>
  </conditionalFormatting>
  <conditionalFormatting sqref="T265:X265">
    <cfRule type="cellIs" dxfId="78" priority="79" operator="lessThan">
      <formula>0</formula>
    </cfRule>
  </conditionalFormatting>
  <conditionalFormatting sqref="T266:X266">
    <cfRule type="cellIs" dxfId="77" priority="72" operator="between">
      <formula>60.1</formula>
      <formula>100</formula>
    </cfRule>
    <cfRule type="cellIs" dxfId="76" priority="73" operator="between">
      <formula>40</formula>
      <formula>60</formula>
    </cfRule>
    <cfRule type="cellIs" dxfId="75" priority="74" operator="between">
      <formula>0</formula>
      <formula>39.9</formula>
    </cfRule>
  </conditionalFormatting>
  <conditionalFormatting sqref="W239:X239">
    <cfRule type="cellIs" dxfId="74" priority="1310" operator="lessThan">
      <formula>"0ç"</formula>
    </cfRule>
  </conditionalFormatting>
  <conditionalFormatting sqref="X251:X254">
    <cfRule type="cellIs" dxfId="73" priority="8" operator="lessThan">
      <formula>0</formula>
    </cfRule>
  </conditionalFormatting>
  <conditionalFormatting sqref="X256">
    <cfRule type="cellIs" dxfId="72" priority="4" operator="lessThan">
      <formula>0</formula>
    </cfRule>
  </conditionalFormatting>
  <hyperlinks>
    <hyperlink ref="B3:B12" location="INDICE!A46" display="7.1 Alumnado matriculado en bachillerato de ciencias y tecnología " xr:uid="{827C87C5-F25A-4897-8318-A95A30CD158D}"/>
    <hyperlink ref="B198:B207" location="INDICE!A46" display="7.4 Alumnado matriculado en grado universitario y ciclo por ámbitos de estudio de carreras" xr:uid="{68D461F6-4D44-4E82-8B23-D6A1AAEBEB15}"/>
    <hyperlink ref="B230:B233" location="INDICE!A46" display="7.6 Personal de investigación en las universidades madrileñas " xr:uid="{16E36B68-3BB4-438D-8191-82075C5E37E2}"/>
    <hyperlink ref="B236:B239" location="INDICE!A46" display="7.7 Empleo cultural por actividades económicas y ocupaciones, según sexo" xr:uid="{B304802A-E94C-488E-B5CD-73206A7A112A}"/>
    <hyperlink ref="B242:B245" location="INDICE!A46" display="7.8 Distinciones honoríficas otorgadas por el Ayuntamiento de Madrid " xr:uid="{16AD34FF-6B65-40F6-8047-37746EFF9641}"/>
    <hyperlink ref="B247:B254" location="INDICE!A46" display="7.9 Licencias federadas" xr:uid="{8436C710-2122-47AE-8564-E3E661796DF9}"/>
    <hyperlink ref="B256:B260" location="INDICE!A46" display="7.10 Personas abonadas en centros deportivos municipales" xr:uid="{9FCE62CE-44F0-41D8-947A-1C636E36BA6D}"/>
    <hyperlink ref="B262:B266" location="INDICE!A46" display="7.11 Participantes en escuelas de promoción deportiva" xr:uid="{D950FEA6-AE25-4F48-8C29-CB3982367248}"/>
    <hyperlink ref="B209:B223" location="INDICE!A46" display="7.5 Porcentaje de mujeres en I+D en todos los sectores de ejecución " xr:uid="{61F7925C-A404-4173-9D18-7EF47C72B411}"/>
    <hyperlink ref="B14:B104" location="INDICE!A1" display="7.2 Alumnado matriculado en formación profesional de grado medio por familias profesionales " xr:uid="{8BEFAC0F-244C-42AF-9E1E-66C1F64A7053}"/>
    <hyperlink ref="B106:B196" location="INDICE!A46" display="7.3 Alumnado matriculado en formación profesional de grado superior por familias profesionales" xr:uid="{7E718DBF-C481-4BBE-AE78-513E2E71995B}"/>
    <hyperlink ref="B268:B277" location="INDICE!A46" display="7.12 Participantes en Juegos Deportivos Municipales colectivos e individuales" xr:uid="{98F5025F-5012-4585-A8CB-50C0D9508AF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133E-4D07-4804-A2B0-7D8E06164C77}">
  <sheetPr>
    <tabColor theme="8" tint="0.79998168889431442"/>
  </sheetPr>
  <dimension ref="A1:T55"/>
  <sheetViews>
    <sheetView showGridLines="0" topLeftCell="A93" zoomScale="90" zoomScaleNormal="90" workbookViewId="0">
      <selection activeCell="L10" sqref="L10"/>
    </sheetView>
  </sheetViews>
  <sheetFormatPr baseColWidth="10" defaultColWidth="11.453125" defaultRowHeight="14.5"/>
  <cols>
    <col min="1" max="20" width="11.453125" style="60"/>
  </cols>
  <sheetData>
    <row r="1" spans="1:17" ht="32" thickTop="1" thickBot="1">
      <c r="A1" s="599" t="s">
        <v>677</v>
      </c>
      <c r="B1" s="600"/>
      <c r="C1" s="600"/>
      <c r="D1" s="600"/>
      <c r="E1" s="600"/>
      <c r="F1" s="600"/>
      <c r="G1" s="600"/>
      <c r="H1" s="600"/>
      <c r="I1" s="600"/>
      <c r="J1" s="600"/>
      <c r="K1" s="600"/>
      <c r="L1" s="600"/>
      <c r="M1" s="600"/>
      <c r="N1" s="600"/>
      <c r="O1" s="600"/>
      <c r="Q1" s="200" t="s">
        <v>245</v>
      </c>
    </row>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sheetData>
  <hyperlinks>
    <hyperlink ref="Q1" location="INDICE!A49" display="SIGEM" xr:uid="{1A8F4A01-D194-4F60-A99F-2F424A8DC611}"/>
  </hyperlink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AFF1-F8B4-4BE5-AF40-4A3EE503E3B9}">
  <sheetPr>
    <tabColor theme="8" tint="0.79998168889431442"/>
  </sheetPr>
  <dimension ref="A1:D89"/>
  <sheetViews>
    <sheetView showGridLines="0" zoomScale="90" zoomScaleNormal="90" workbookViewId="0">
      <selection activeCell="D43" sqref="D43"/>
    </sheetView>
  </sheetViews>
  <sheetFormatPr baseColWidth="10" defaultColWidth="11.453125" defaultRowHeight="14.5"/>
  <cols>
    <col min="1" max="1" width="20.1796875" customWidth="1"/>
    <col min="2" max="2" width="133" style="398" customWidth="1"/>
  </cols>
  <sheetData>
    <row r="1" spans="1:4" ht="32" thickTop="1" thickBot="1">
      <c r="A1" s="290" t="s">
        <v>677</v>
      </c>
      <c r="B1" s="300"/>
      <c r="D1" s="148" t="s">
        <v>245</v>
      </c>
    </row>
    <row r="2" spans="1:4" ht="16.5" customHeight="1">
      <c r="A2" s="1370" t="s">
        <v>679</v>
      </c>
      <c r="B2" s="1371"/>
    </row>
    <row r="3" spans="1:4" ht="31.5" customHeight="1">
      <c r="A3" s="252" t="s">
        <v>263</v>
      </c>
      <c r="B3" s="254" t="s">
        <v>741</v>
      </c>
    </row>
    <row r="4" spans="1:4" ht="63.75" customHeight="1">
      <c r="A4" s="252" t="s">
        <v>265</v>
      </c>
      <c r="B4" s="254" t="s">
        <v>742</v>
      </c>
    </row>
    <row r="5" spans="1:4">
      <c r="A5" s="252" t="s">
        <v>324</v>
      </c>
      <c r="B5" s="254" t="s">
        <v>279</v>
      </c>
    </row>
    <row r="6" spans="1:4" ht="29">
      <c r="A6" s="252" t="s">
        <v>269</v>
      </c>
      <c r="B6" s="395" t="s">
        <v>743</v>
      </c>
    </row>
    <row r="7" spans="1:4">
      <c r="A7" s="252" t="s">
        <v>282</v>
      </c>
      <c r="B7" s="254" t="s">
        <v>744</v>
      </c>
    </row>
    <row r="8" spans="1:4">
      <c r="A8" s="252" t="s">
        <v>273</v>
      </c>
      <c r="B8" s="254" t="s">
        <v>315</v>
      </c>
    </row>
    <row r="9" spans="1:4" ht="15.75" customHeight="1">
      <c r="A9" s="1368" t="s">
        <v>685</v>
      </c>
      <c r="B9" s="1369"/>
    </row>
    <row r="10" spans="1:4" ht="78.75" customHeight="1">
      <c r="A10" s="252" t="s">
        <v>263</v>
      </c>
      <c r="B10" s="254" t="s">
        <v>745</v>
      </c>
    </row>
    <row r="11" spans="1:4" ht="58">
      <c r="A11" s="252" t="s">
        <v>265</v>
      </c>
      <c r="B11" s="254" t="s">
        <v>746</v>
      </c>
    </row>
    <row r="12" spans="1:4">
      <c r="A12" s="252" t="s">
        <v>324</v>
      </c>
      <c r="B12" s="254" t="s">
        <v>279</v>
      </c>
    </row>
    <row r="13" spans="1:4" ht="29">
      <c r="A13" s="252" t="s">
        <v>269</v>
      </c>
      <c r="B13" s="395" t="s">
        <v>743</v>
      </c>
    </row>
    <row r="14" spans="1:4">
      <c r="A14" s="252" t="s">
        <v>271</v>
      </c>
      <c r="B14" s="254" t="s">
        <v>747</v>
      </c>
    </row>
    <row r="15" spans="1:4">
      <c r="A15" s="252" t="s">
        <v>273</v>
      </c>
      <c r="B15" s="254" t="s">
        <v>315</v>
      </c>
    </row>
    <row r="16" spans="1:4" ht="15.75" customHeight="1">
      <c r="A16" s="1368" t="s">
        <v>748</v>
      </c>
      <c r="B16" s="1369"/>
    </row>
    <row r="17" spans="1:3" ht="58">
      <c r="A17" s="252" t="s">
        <v>263</v>
      </c>
      <c r="B17" s="254" t="s">
        <v>749</v>
      </c>
    </row>
    <row r="18" spans="1:3" ht="66" customHeight="1">
      <c r="A18" s="252" t="s">
        <v>265</v>
      </c>
      <c r="B18" s="254" t="s">
        <v>746</v>
      </c>
    </row>
    <row r="19" spans="1:3">
      <c r="A19" s="252" t="s">
        <v>324</v>
      </c>
      <c r="B19" s="254" t="s">
        <v>279</v>
      </c>
    </row>
    <row r="20" spans="1:3" ht="29">
      <c r="A20" s="252" t="s">
        <v>269</v>
      </c>
      <c r="B20" s="395" t="s">
        <v>743</v>
      </c>
    </row>
    <row r="21" spans="1:3">
      <c r="A21" s="252" t="s">
        <v>271</v>
      </c>
      <c r="B21" s="254" t="s">
        <v>747</v>
      </c>
    </row>
    <row r="22" spans="1:3">
      <c r="A22" s="252" t="s">
        <v>273</v>
      </c>
      <c r="B22" s="254" t="s">
        <v>750</v>
      </c>
    </row>
    <row r="23" spans="1:3" ht="15.75" customHeight="1">
      <c r="A23" s="1368" t="s">
        <v>711</v>
      </c>
      <c r="B23" s="1500"/>
    </row>
    <row r="24" spans="1:3" ht="61.5" customHeight="1">
      <c r="A24" s="731" t="s">
        <v>263</v>
      </c>
      <c r="B24" s="733" t="s">
        <v>751</v>
      </c>
      <c r="C24" s="730"/>
    </row>
    <row r="25" spans="1:3" ht="58">
      <c r="A25" s="731" t="s">
        <v>265</v>
      </c>
      <c r="B25" s="733" t="s">
        <v>752</v>
      </c>
      <c r="C25" s="730"/>
    </row>
    <row r="26" spans="1:3" ht="15" thickBot="1">
      <c r="A26" s="252" t="s">
        <v>324</v>
      </c>
      <c r="B26" s="732" t="s">
        <v>753</v>
      </c>
      <c r="C26" s="729"/>
    </row>
    <row r="27" spans="1:3">
      <c r="A27" s="252" t="s">
        <v>269</v>
      </c>
      <c r="B27" s="395" t="s">
        <v>754</v>
      </c>
    </row>
    <row r="28" spans="1:3">
      <c r="A28" s="252" t="s">
        <v>271</v>
      </c>
      <c r="B28" s="254" t="s">
        <v>747</v>
      </c>
    </row>
    <row r="29" spans="1:3">
      <c r="A29" s="252" t="s">
        <v>273</v>
      </c>
      <c r="B29" s="254" t="s">
        <v>430</v>
      </c>
    </row>
    <row r="30" spans="1:3" ht="15.75" customHeight="1">
      <c r="A30" s="1368" t="s">
        <v>721</v>
      </c>
      <c r="B30" s="1369"/>
    </row>
    <row r="31" spans="1:3" ht="30.65" customHeight="1">
      <c r="A31" s="252" t="s">
        <v>263</v>
      </c>
      <c r="B31" s="254" t="s">
        <v>755</v>
      </c>
    </row>
    <row r="32" spans="1:3" ht="58.5" customHeight="1">
      <c r="A32" s="252" t="s">
        <v>265</v>
      </c>
      <c r="B32" s="254" t="s">
        <v>756</v>
      </c>
    </row>
    <row r="33" spans="1:2">
      <c r="A33" s="252" t="s">
        <v>324</v>
      </c>
      <c r="B33" s="254" t="s">
        <v>753</v>
      </c>
    </row>
    <row r="34" spans="1:2">
      <c r="A34" s="252" t="s">
        <v>269</v>
      </c>
      <c r="B34" s="577" t="s">
        <v>757</v>
      </c>
    </row>
    <row r="35" spans="1:2">
      <c r="A35" s="252" t="s">
        <v>282</v>
      </c>
      <c r="B35" s="578" t="s">
        <v>758</v>
      </c>
    </row>
    <row r="36" spans="1:2">
      <c r="A36" s="252" t="s">
        <v>271</v>
      </c>
      <c r="B36" s="254" t="s">
        <v>747</v>
      </c>
    </row>
    <row r="37" spans="1:2">
      <c r="A37" s="252" t="s">
        <v>273</v>
      </c>
      <c r="B37" s="254" t="s">
        <v>430</v>
      </c>
    </row>
    <row r="38" spans="1:2" ht="15.75" customHeight="1">
      <c r="A38" s="1368" t="s">
        <v>728</v>
      </c>
      <c r="B38" s="1369"/>
    </row>
    <row r="39" spans="1:2">
      <c r="A39" s="252" t="s">
        <v>263</v>
      </c>
      <c r="B39" s="254" t="s">
        <v>759</v>
      </c>
    </row>
    <row r="40" spans="1:2" ht="43.5">
      <c r="A40" s="252" t="s">
        <v>265</v>
      </c>
      <c r="B40" s="254" t="s">
        <v>760</v>
      </c>
    </row>
    <row r="41" spans="1:2">
      <c r="A41" s="252" t="s">
        <v>324</v>
      </c>
      <c r="B41" s="254" t="s">
        <v>753</v>
      </c>
    </row>
    <row r="42" spans="1:2">
      <c r="A42" s="252" t="s">
        <v>269</v>
      </c>
      <c r="B42" s="395" t="s">
        <v>761</v>
      </c>
    </row>
    <row r="43" spans="1:2">
      <c r="A43" s="252" t="s">
        <v>271</v>
      </c>
      <c r="B43" s="254" t="s">
        <v>747</v>
      </c>
    </row>
    <row r="44" spans="1:2">
      <c r="A44" s="252" t="s">
        <v>273</v>
      </c>
      <c r="B44" s="254" t="s">
        <v>430</v>
      </c>
    </row>
    <row r="45" spans="1:2" ht="15.75" customHeight="1">
      <c r="A45" s="1368" t="s">
        <v>729</v>
      </c>
      <c r="B45" s="1369"/>
    </row>
    <row r="46" spans="1:2" ht="44.15" customHeight="1">
      <c r="A46" s="252" t="s">
        <v>263</v>
      </c>
      <c r="B46" s="254" t="s">
        <v>762</v>
      </c>
    </row>
    <row r="47" spans="1:2" ht="43.5">
      <c r="A47" s="252" t="s">
        <v>265</v>
      </c>
      <c r="B47" s="254" t="s">
        <v>763</v>
      </c>
    </row>
    <row r="48" spans="1:2">
      <c r="A48" s="252" t="s">
        <v>324</v>
      </c>
      <c r="B48" s="254" t="s">
        <v>279</v>
      </c>
    </row>
    <row r="49" spans="1:2" ht="29">
      <c r="A49" s="1496" t="s">
        <v>269</v>
      </c>
      <c r="B49" s="395" t="s">
        <v>764</v>
      </c>
    </row>
    <row r="50" spans="1:2" ht="29">
      <c r="A50" s="1497"/>
      <c r="B50" s="395" t="s">
        <v>765</v>
      </c>
    </row>
    <row r="51" spans="1:2" ht="29.5" customHeight="1">
      <c r="A51" s="252" t="s">
        <v>271</v>
      </c>
      <c r="B51" s="254" t="s">
        <v>766</v>
      </c>
    </row>
    <row r="52" spans="1:2">
      <c r="A52" s="252" t="s">
        <v>273</v>
      </c>
      <c r="B52" s="254" t="s">
        <v>767</v>
      </c>
    </row>
    <row r="53" spans="1:2" ht="15.75" customHeight="1">
      <c r="A53" s="1368" t="s">
        <v>731</v>
      </c>
      <c r="B53" s="1369"/>
    </row>
    <row r="54" spans="1:2" ht="71.150000000000006" customHeight="1">
      <c r="A54" s="252" t="s">
        <v>263</v>
      </c>
      <c r="B54" s="254" t="s">
        <v>768</v>
      </c>
    </row>
    <row r="55" spans="1:2" ht="29">
      <c r="A55" s="252" t="s">
        <v>265</v>
      </c>
      <c r="B55" s="254" t="s">
        <v>769</v>
      </c>
    </row>
    <row r="56" spans="1:2">
      <c r="A56" s="252" t="s">
        <v>324</v>
      </c>
      <c r="B56" s="254" t="s">
        <v>279</v>
      </c>
    </row>
    <row r="57" spans="1:2" ht="18" customHeight="1">
      <c r="A57" s="252" t="s">
        <v>269</v>
      </c>
      <c r="B57" s="395" t="s">
        <v>770</v>
      </c>
    </row>
    <row r="58" spans="1:2">
      <c r="A58" s="252" t="s">
        <v>282</v>
      </c>
      <c r="B58" s="254" t="s">
        <v>771</v>
      </c>
    </row>
    <row r="59" spans="1:2">
      <c r="A59" s="252" t="s">
        <v>271</v>
      </c>
      <c r="B59" s="254" t="s">
        <v>772</v>
      </c>
    </row>
    <row r="60" spans="1:2">
      <c r="A60" s="252" t="s">
        <v>273</v>
      </c>
      <c r="B60" s="254" t="s">
        <v>430</v>
      </c>
    </row>
    <row r="61" spans="1:2" ht="15.75" customHeight="1">
      <c r="A61" s="1368" t="s">
        <v>732</v>
      </c>
      <c r="B61" s="1369"/>
    </row>
    <row r="62" spans="1:2" ht="140.5" customHeight="1">
      <c r="A62" s="252" t="s">
        <v>263</v>
      </c>
      <c r="B62" s="254" t="s">
        <v>773</v>
      </c>
    </row>
    <row r="63" spans="1:2" ht="72.5">
      <c r="A63" s="252" t="s">
        <v>265</v>
      </c>
      <c r="B63" s="590" t="s">
        <v>774</v>
      </c>
    </row>
    <row r="64" spans="1:2">
      <c r="A64" s="252" t="s">
        <v>324</v>
      </c>
      <c r="B64" s="396" t="s">
        <v>753</v>
      </c>
    </row>
    <row r="65" spans="1:2">
      <c r="A65" s="252" t="s">
        <v>269</v>
      </c>
      <c r="B65" s="395" t="s">
        <v>775</v>
      </c>
    </row>
    <row r="66" spans="1:2">
      <c r="A66" s="252" t="s">
        <v>271</v>
      </c>
      <c r="B66" s="254" t="s">
        <v>747</v>
      </c>
    </row>
    <row r="67" spans="1:2">
      <c r="A67" s="252" t="s">
        <v>273</v>
      </c>
      <c r="B67" s="254" t="s">
        <v>433</v>
      </c>
    </row>
    <row r="68" spans="1:2" ht="15.75" customHeight="1">
      <c r="A68" s="1368" t="s">
        <v>736</v>
      </c>
      <c r="B68" s="1369"/>
    </row>
    <row r="69" spans="1:2">
      <c r="A69" s="252" t="s">
        <v>263</v>
      </c>
      <c r="B69" s="254" t="s">
        <v>776</v>
      </c>
    </row>
    <row r="70" spans="1:2" ht="43.5">
      <c r="A70" s="252" t="s">
        <v>265</v>
      </c>
      <c r="B70" s="590" t="s">
        <v>777</v>
      </c>
    </row>
    <row r="71" spans="1:2">
      <c r="A71" s="252" t="s">
        <v>324</v>
      </c>
      <c r="B71" s="396" t="s">
        <v>279</v>
      </c>
    </row>
    <row r="72" spans="1:2">
      <c r="A72" s="252" t="s">
        <v>269</v>
      </c>
      <c r="B72" s="395" t="s">
        <v>778</v>
      </c>
    </row>
    <row r="73" spans="1:2">
      <c r="A73" s="252" t="s">
        <v>271</v>
      </c>
      <c r="B73" s="254" t="s">
        <v>779</v>
      </c>
    </row>
    <row r="74" spans="1:2">
      <c r="A74" s="252" t="s">
        <v>273</v>
      </c>
      <c r="B74" s="254" t="s">
        <v>430</v>
      </c>
    </row>
    <row r="75" spans="1:2" ht="15.75" customHeight="1">
      <c r="A75" s="1368" t="s">
        <v>737</v>
      </c>
      <c r="B75" s="1369"/>
    </row>
    <row r="76" spans="1:2" ht="87">
      <c r="A76" s="252" t="s">
        <v>263</v>
      </c>
      <c r="B76" s="254" t="s">
        <v>780</v>
      </c>
    </row>
    <row r="77" spans="1:2" ht="72.5">
      <c r="A77" s="252" t="s">
        <v>265</v>
      </c>
      <c r="B77" s="590" t="s">
        <v>781</v>
      </c>
    </row>
    <row r="78" spans="1:2">
      <c r="A78" s="252" t="s">
        <v>324</v>
      </c>
      <c r="B78" s="254" t="s">
        <v>279</v>
      </c>
    </row>
    <row r="79" spans="1:2" ht="18.75" customHeight="1">
      <c r="A79" s="1496" t="s">
        <v>269</v>
      </c>
      <c r="B79" s="395" t="s">
        <v>782</v>
      </c>
    </row>
    <row r="80" spans="1:2" ht="14.25" customHeight="1">
      <c r="A80" s="1497"/>
      <c r="B80" s="395" t="s">
        <v>783</v>
      </c>
    </row>
    <row r="81" spans="1:2">
      <c r="A81" s="252" t="s">
        <v>271</v>
      </c>
      <c r="B81" s="254" t="s">
        <v>784</v>
      </c>
    </row>
    <row r="82" spans="1:2">
      <c r="A82" s="252" t="s">
        <v>273</v>
      </c>
      <c r="B82" s="254" t="s">
        <v>315</v>
      </c>
    </row>
    <row r="83" spans="1:2" ht="15.5">
      <c r="A83" s="1498" t="s">
        <v>738</v>
      </c>
      <c r="B83" s="1499"/>
    </row>
    <row r="84" spans="1:2" ht="43.5">
      <c r="A84" s="838" t="s">
        <v>263</v>
      </c>
      <c r="B84" s="733" t="s">
        <v>785</v>
      </c>
    </row>
    <row r="85" spans="1:2" ht="72.5">
      <c r="A85" s="838" t="s">
        <v>265</v>
      </c>
      <c r="B85" s="733" t="s">
        <v>786</v>
      </c>
    </row>
    <row r="86" spans="1:2">
      <c r="A86" s="838" t="s">
        <v>324</v>
      </c>
      <c r="B86" s="733" t="s">
        <v>279</v>
      </c>
    </row>
    <row r="87" spans="1:2">
      <c r="A87" s="838" t="s">
        <v>269</v>
      </c>
      <c r="B87" s="839" t="s">
        <v>787</v>
      </c>
    </row>
    <row r="88" spans="1:2">
      <c r="A88" s="838" t="s">
        <v>271</v>
      </c>
      <c r="B88" s="733" t="s">
        <v>788</v>
      </c>
    </row>
    <row r="89" spans="1:2">
      <c r="A89" s="838" t="s">
        <v>273</v>
      </c>
      <c r="B89" s="733" t="s">
        <v>430</v>
      </c>
    </row>
  </sheetData>
  <mergeCells count="14">
    <mergeCell ref="A79:A80"/>
    <mergeCell ref="A83:B83"/>
    <mergeCell ref="A38:B38"/>
    <mergeCell ref="A2:B2"/>
    <mergeCell ref="A9:B9"/>
    <mergeCell ref="A16:B16"/>
    <mergeCell ref="A23:B23"/>
    <mergeCell ref="A30:B30"/>
    <mergeCell ref="A45:B45"/>
    <mergeCell ref="A53:B53"/>
    <mergeCell ref="A61:B61"/>
    <mergeCell ref="A68:B68"/>
    <mergeCell ref="A75:B75"/>
    <mergeCell ref="A49:A50"/>
  </mergeCells>
  <conditionalFormatting sqref="C26">
    <cfRule type="cellIs" dxfId="71" priority="1" operator="lessThan">
      <formula>0</formula>
    </cfRule>
  </conditionalFormatting>
  <hyperlinks>
    <hyperlink ref="D1" location="INDICE!A49" display="SIGEM" xr:uid="{14D0F599-B6ED-47E5-8019-31F8735FC44D}"/>
    <hyperlink ref="B27" r:id="rId1" display="Sistema Integrado de Información Universitaria (SIIU). Secretaría General de Universidades." xr:uid="{DDFF42B4-09F6-43A9-8F4C-874905545BF0}"/>
    <hyperlink ref="B34" r:id="rId2" display="Estadística sobre actividades en I+D, Instituto Nacional de Estadísitcas (INE)." xr:uid="{55F36E8B-BDB4-42CD-A496-140FFBA54BA7}"/>
    <hyperlink ref="B42" r:id="rId3" display="Sistema Integrado de Información Universitaria (SIIU). Ministerio de Universidades" xr:uid="{8E23AA72-6C47-435E-9533-97A3F0A267FC}"/>
    <hyperlink ref="B49" r:id="rId4" xr:uid="{38205438-EF2E-418A-859C-173E28AADCF6}"/>
    <hyperlink ref="B57" r:id="rId5" xr:uid="{E8E1E740-AACB-46AB-BAD6-AA6C18D7497F}"/>
    <hyperlink ref="B79" r:id="rId6" xr:uid="{26338C47-B585-458D-A2C2-A37430E5AFD3}"/>
    <hyperlink ref="B80" r:id="rId7" display="Temporada en curso." xr:uid="{569F6309-CBAC-48AB-8921-3C3FC0B24577}"/>
    <hyperlink ref="B72" r:id="rId8" xr:uid="{1B47DA92-615F-4E5A-8AB1-D24F46625E01}"/>
    <hyperlink ref="B6" r:id="rId9" xr:uid="{F3732104-610B-4C89-A154-4A68961E1672}"/>
    <hyperlink ref="B13" r:id="rId10" xr:uid="{18BB3EC9-9ED3-4337-B380-BB24F89E4FF8}"/>
    <hyperlink ref="B20" r:id="rId11" xr:uid="{5F5AC68D-4D22-4AC3-9103-595F07D92362}"/>
    <hyperlink ref="B50" r:id="rId12" xr:uid="{B6A7AC4E-8EA4-42C6-BB4B-2F45AC8165BE}"/>
    <hyperlink ref="B87" r:id="rId13" display="https://servpub.madrid.es/CSEBD_WBINTER/seleccionSerie.html?numSerie=0203020000030" xr:uid="{EC82049A-7076-4BD9-9B8C-3285FDB27DD1}"/>
    <hyperlink ref="B65" r:id="rId14" xr:uid="{080E3438-B6E1-4505-A1B9-5C9EA6B3AC7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34CB-B864-4B84-A39C-9B60E1C2A5B6}">
  <sheetPr>
    <tabColor rgb="FFE5E5FF"/>
  </sheetPr>
  <dimension ref="A1:Z52"/>
  <sheetViews>
    <sheetView showGridLines="0" topLeftCell="B1" zoomScale="70" zoomScaleNormal="70" workbookViewId="0">
      <selection activeCell="Y14" sqref="Y14"/>
    </sheetView>
  </sheetViews>
  <sheetFormatPr baseColWidth="10" defaultColWidth="9.1796875" defaultRowHeight="14.5"/>
  <cols>
    <col min="1" max="1" width="18.81640625" style="21" customWidth="1"/>
    <col min="2" max="2" width="60.7265625" style="21" customWidth="1"/>
    <col min="3" max="3" width="12.54296875" style="21" bestFit="1" customWidth="1"/>
    <col min="4" max="4" width="19.81640625" style="244" customWidth="1"/>
    <col min="5" max="5" width="9.1796875" style="21"/>
    <col min="6" max="6" width="9.1796875" style="21" customWidth="1"/>
    <col min="7" max="7" width="9.1796875" style="21"/>
    <col min="8" max="9" width="0" style="21" hidden="1" customWidth="1"/>
    <col min="10" max="11" width="9.1796875" style="21"/>
    <col min="12" max="14" width="0" style="21" hidden="1" customWidth="1"/>
    <col min="15" max="21" width="9.1796875" style="21"/>
    <col min="22" max="22" width="9.7265625" style="21" bestFit="1" customWidth="1"/>
    <col min="23" max="23" width="9.1796875" style="21" customWidth="1"/>
    <col min="24" max="24" width="9.7265625" style="21" bestFit="1" customWidth="1"/>
    <col min="25" max="16384" width="9.1796875" style="21"/>
  </cols>
  <sheetData>
    <row r="1" spans="1:24" ht="32" thickTop="1" thickBot="1">
      <c r="A1" s="1396" t="s">
        <v>789</v>
      </c>
      <c r="B1" s="1396"/>
      <c r="C1" s="1396"/>
      <c r="D1" s="1396"/>
      <c r="E1" s="1397"/>
      <c r="F1" s="1397"/>
      <c r="G1" s="1397"/>
      <c r="H1" s="1397"/>
      <c r="I1" s="1397"/>
      <c r="J1" s="1397"/>
      <c r="K1" s="1397"/>
      <c r="L1" s="1397"/>
      <c r="M1" s="1397"/>
      <c r="N1" s="1397"/>
      <c r="O1" s="1397"/>
      <c r="P1" s="1397"/>
      <c r="Q1" s="1397"/>
      <c r="R1" s="1397"/>
      <c r="S1" s="1397"/>
      <c r="T1" s="1397"/>
      <c r="U1" s="1397"/>
      <c r="V1" s="1397"/>
      <c r="W1" s="1397"/>
      <c r="X1" s="202" t="s">
        <v>245</v>
      </c>
    </row>
    <row r="2" spans="1:24" ht="15" thickBot="1">
      <c r="A2" s="203" t="s">
        <v>285</v>
      </c>
      <c r="B2" s="204" t="s">
        <v>246</v>
      </c>
      <c r="C2" s="1510"/>
      <c r="D2" s="1511"/>
      <c r="E2" s="205">
        <v>2005</v>
      </c>
      <c r="F2" s="206">
        <v>2006</v>
      </c>
      <c r="G2" s="206">
        <v>2007</v>
      </c>
      <c r="H2" s="206">
        <v>2008</v>
      </c>
      <c r="I2" s="206">
        <v>2009</v>
      </c>
      <c r="J2" s="206">
        <v>2010</v>
      </c>
      <c r="K2" s="207">
        <v>2011</v>
      </c>
      <c r="L2" s="207">
        <v>2012</v>
      </c>
      <c r="M2" s="207">
        <v>2013</v>
      </c>
      <c r="N2" s="207">
        <v>2014</v>
      </c>
      <c r="O2" s="206">
        <v>2015</v>
      </c>
      <c r="P2" s="206">
        <v>2016</v>
      </c>
      <c r="Q2" s="206">
        <v>2017</v>
      </c>
      <c r="R2" s="206">
        <v>2018</v>
      </c>
      <c r="S2" s="206">
        <v>2019</v>
      </c>
      <c r="T2" s="206">
        <v>2020</v>
      </c>
      <c r="U2" s="206">
        <v>2021</v>
      </c>
      <c r="V2" s="206">
        <v>2022</v>
      </c>
      <c r="W2" s="208">
        <v>2023</v>
      </c>
      <c r="X2" s="206">
        <v>2024</v>
      </c>
    </row>
    <row r="3" spans="1:24">
      <c r="A3" s="1294" t="s">
        <v>194</v>
      </c>
      <c r="B3" s="1291" t="s">
        <v>790</v>
      </c>
      <c r="C3" s="1383" t="s">
        <v>344</v>
      </c>
      <c r="D3" s="1507"/>
      <c r="E3" s="209"/>
      <c r="F3" s="209"/>
      <c r="G3" s="840">
        <v>57</v>
      </c>
      <c r="H3" s="840"/>
      <c r="I3" s="840"/>
      <c r="J3" s="840"/>
      <c r="K3" s="851"/>
      <c r="L3" s="841"/>
      <c r="M3" s="841"/>
      <c r="N3" s="841"/>
      <c r="O3" s="841">
        <f>SUM(O4:O5)</f>
        <v>57</v>
      </c>
      <c r="P3" s="841"/>
      <c r="Q3" s="841"/>
      <c r="R3" s="841"/>
      <c r="S3" s="841">
        <v>57</v>
      </c>
      <c r="T3" s="841"/>
      <c r="U3" s="841"/>
      <c r="V3" s="842"/>
      <c r="W3" s="843">
        <f>SUM(W4:W5)</f>
        <v>57</v>
      </c>
      <c r="X3" s="843"/>
    </row>
    <row r="4" spans="1:24">
      <c r="A4" s="1295"/>
      <c r="B4" s="1512"/>
      <c r="C4" s="1385" t="s">
        <v>345</v>
      </c>
      <c r="D4" s="1513"/>
      <c r="E4" s="210"/>
      <c r="F4" s="210"/>
      <c r="G4" s="844">
        <v>30</v>
      </c>
      <c r="H4" s="844"/>
      <c r="I4" s="844"/>
      <c r="J4" s="844"/>
      <c r="K4" s="852"/>
      <c r="L4" s="752"/>
      <c r="M4" s="752"/>
      <c r="N4" s="752"/>
      <c r="O4" s="752">
        <v>31</v>
      </c>
      <c r="P4" s="752"/>
      <c r="Q4" s="752"/>
      <c r="R4" s="752"/>
      <c r="S4" s="752">
        <v>29</v>
      </c>
      <c r="T4" s="752"/>
      <c r="U4" s="752"/>
      <c r="V4" s="752"/>
      <c r="W4" s="819">
        <v>29</v>
      </c>
      <c r="X4" s="819"/>
    </row>
    <row r="5" spans="1:24">
      <c r="A5" s="1295"/>
      <c r="B5" s="1512"/>
      <c r="C5" s="1514" t="s">
        <v>346</v>
      </c>
      <c r="D5" s="1515"/>
      <c r="E5" s="211"/>
      <c r="F5" s="211"/>
      <c r="G5" s="845">
        <v>27</v>
      </c>
      <c r="H5" s="845"/>
      <c r="I5" s="845"/>
      <c r="J5" s="845"/>
      <c r="K5" s="853"/>
      <c r="L5" s="756"/>
      <c r="M5" s="756"/>
      <c r="N5" s="756"/>
      <c r="O5" s="756">
        <v>26</v>
      </c>
      <c r="P5" s="756"/>
      <c r="Q5" s="756"/>
      <c r="R5" s="756"/>
      <c r="S5" s="756">
        <v>28</v>
      </c>
      <c r="T5" s="756"/>
      <c r="U5" s="756"/>
      <c r="V5" s="756"/>
      <c r="W5" s="846">
        <v>28</v>
      </c>
      <c r="X5" s="846"/>
    </row>
    <row r="6" spans="1:24" ht="15" thickBot="1">
      <c r="A6" s="1295"/>
      <c r="B6" s="1293"/>
      <c r="C6" s="1516" t="s">
        <v>289</v>
      </c>
      <c r="D6" s="1517"/>
      <c r="E6" s="847"/>
      <c r="F6" s="847"/>
      <c r="G6" s="848">
        <f>+G5/G3*100</f>
        <v>47.368421052631575</v>
      </c>
      <c r="H6" s="849"/>
      <c r="I6" s="849"/>
      <c r="J6" s="849"/>
      <c r="K6" s="849"/>
      <c r="L6" s="849" t="e">
        <f t="shared" ref="L6:O6" si="0">+L5/L3*100</f>
        <v>#DIV/0!</v>
      </c>
      <c r="M6" s="849" t="e">
        <f t="shared" si="0"/>
        <v>#DIV/0!</v>
      </c>
      <c r="N6" s="849" t="e">
        <f t="shared" si="0"/>
        <v>#DIV/0!</v>
      </c>
      <c r="O6" s="848">
        <f t="shared" si="0"/>
        <v>45.614035087719294</v>
      </c>
      <c r="P6" s="277"/>
      <c r="Q6" s="277"/>
      <c r="R6" s="277"/>
      <c r="S6" s="848">
        <f>+S5/S3*100</f>
        <v>49.122807017543856</v>
      </c>
      <c r="T6" s="277"/>
      <c r="U6" s="849"/>
      <c r="V6" s="849"/>
      <c r="W6" s="1052">
        <f>+W5/W3*100</f>
        <v>49.122807017543856</v>
      </c>
      <c r="X6" s="1053"/>
    </row>
    <row r="7" spans="1:24" ht="15" thickBot="1">
      <c r="A7" s="1295"/>
      <c r="B7" s="212" t="s">
        <v>246</v>
      </c>
      <c r="C7" s="1518"/>
      <c r="D7" s="1519"/>
      <c r="E7" s="205">
        <v>2005</v>
      </c>
      <c r="F7" s="206">
        <v>2006</v>
      </c>
      <c r="G7" s="206">
        <v>2007</v>
      </c>
      <c r="H7" s="206">
        <v>2008</v>
      </c>
      <c r="I7" s="206">
        <v>2009</v>
      </c>
      <c r="J7" s="206">
        <v>2010</v>
      </c>
      <c r="K7" s="207">
        <v>2011</v>
      </c>
      <c r="L7" s="207">
        <v>2012</v>
      </c>
      <c r="M7" s="207">
        <v>2013</v>
      </c>
      <c r="N7" s="207">
        <v>2014</v>
      </c>
      <c r="O7" s="206">
        <v>2015</v>
      </c>
      <c r="P7" s="206">
        <v>2016</v>
      </c>
      <c r="Q7" s="206">
        <v>2017</v>
      </c>
      <c r="R7" s="206">
        <v>2018</v>
      </c>
      <c r="S7" s="206">
        <v>2019</v>
      </c>
      <c r="T7" s="206">
        <v>2020</v>
      </c>
      <c r="U7" s="206">
        <v>2021</v>
      </c>
      <c r="V7" s="206">
        <v>2022</v>
      </c>
      <c r="W7" s="206">
        <v>2023</v>
      </c>
      <c r="X7" s="206">
        <v>2024</v>
      </c>
    </row>
    <row r="8" spans="1:24">
      <c r="A8" s="1295"/>
      <c r="B8" s="1505" t="s">
        <v>791</v>
      </c>
      <c r="C8" s="1196" t="s">
        <v>291</v>
      </c>
      <c r="D8" s="214" t="s">
        <v>344</v>
      </c>
      <c r="E8" s="215"/>
      <c r="F8" s="215"/>
      <c r="G8" s="215"/>
      <c r="H8" s="215"/>
      <c r="I8" s="215"/>
      <c r="J8" s="215"/>
      <c r="K8" s="168"/>
      <c r="L8" s="168"/>
      <c r="M8" s="168"/>
      <c r="N8" s="168"/>
      <c r="O8" s="168"/>
      <c r="P8" s="168"/>
      <c r="Q8" s="168"/>
      <c r="R8" s="168"/>
      <c r="S8" s="168"/>
      <c r="T8" s="168"/>
      <c r="U8" s="168"/>
      <c r="V8" s="216"/>
      <c r="W8" s="854">
        <v>18</v>
      </c>
      <c r="X8" s="854"/>
    </row>
    <row r="9" spans="1:24">
      <c r="A9" s="1295"/>
      <c r="B9" s="1382"/>
      <c r="C9" s="1197"/>
      <c r="D9" s="217" t="s">
        <v>345</v>
      </c>
      <c r="E9" s="16"/>
      <c r="F9" s="16"/>
      <c r="G9" s="16"/>
      <c r="H9" s="16"/>
      <c r="I9" s="16"/>
      <c r="J9" s="16"/>
      <c r="K9" s="134"/>
      <c r="L9" s="134"/>
      <c r="M9" s="134"/>
      <c r="N9" s="134"/>
      <c r="O9" s="134"/>
      <c r="P9" s="134"/>
      <c r="Q9" s="134"/>
      <c r="R9" s="134"/>
      <c r="S9" s="134"/>
      <c r="T9" s="134"/>
      <c r="U9" s="134"/>
      <c r="V9" s="218"/>
      <c r="W9" s="855">
        <v>11</v>
      </c>
      <c r="X9" s="855"/>
    </row>
    <row r="10" spans="1:24">
      <c r="A10" s="1295"/>
      <c r="B10" s="1382"/>
      <c r="C10" s="1197"/>
      <c r="D10" s="217" t="s">
        <v>346</v>
      </c>
      <c r="E10" s="16"/>
      <c r="F10" s="16"/>
      <c r="G10" s="16"/>
      <c r="H10" s="16"/>
      <c r="I10" s="16"/>
      <c r="J10" s="16"/>
      <c r="K10" s="134"/>
      <c r="L10" s="134"/>
      <c r="M10" s="134"/>
      <c r="N10" s="134"/>
      <c r="O10" s="134"/>
      <c r="P10" s="134"/>
      <c r="Q10" s="134"/>
      <c r="R10" s="134"/>
      <c r="S10" s="134"/>
      <c r="T10" s="134"/>
      <c r="U10" s="134"/>
      <c r="V10" s="218"/>
      <c r="W10" s="855">
        <v>7</v>
      </c>
      <c r="X10" s="855"/>
    </row>
    <row r="11" spans="1:24" ht="15" thickBot="1">
      <c r="A11" s="1295"/>
      <c r="B11" s="1382"/>
      <c r="C11" s="1198"/>
      <c r="D11" s="856" t="s">
        <v>289</v>
      </c>
      <c r="E11" s="219"/>
      <c r="F11" s="219"/>
      <c r="G11" s="219"/>
      <c r="H11" s="219"/>
      <c r="I11" s="219"/>
      <c r="J11" s="219"/>
      <c r="K11" s="162"/>
      <c r="L11" s="162"/>
      <c r="M11" s="162"/>
      <c r="N11" s="162"/>
      <c r="O11" s="162"/>
      <c r="P11" s="162"/>
      <c r="Q11" s="162"/>
      <c r="R11" s="162"/>
      <c r="S11" s="162"/>
      <c r="T11" s="162"/>
      <c r="U11" s="162"/>
      <c r="V11" s="162"/>
      <c r="W11" s="1054">
        <f>+W10/W8*100</f>
        <v>38.888888888888893</v>
      </c>
      <c r="X11" s="217"/>
    </row>
    <row r="12" spans="1:24">
      <c r="A12" s="1295"/>
      <c r="B12" s="1382"/>
      <c r="C12" s="1520" t="s">
        <v>792</v>
      </c>
      <c r="D12" s="214" t="s">
        <v>344</v>
      </c>
      <c r="E12" s="215"/>
      <c r="F12" s="215"/>
      <c r="G12" s="215"/>
      <c r="H12" s="215"/>
      <c r="I12" s="215"/>
      <c r="J12" s="215"/>
      <c r="K12" s="168"/>
      <c r="L12" s="168"/>
      <c r="M12" s="168"/>
      <c r="N12" s="168"/>
      <c r="O12" s="168"/>
      <c r="P12" s="168"/>
      <c r="Q12" s="168"/>
      <c r="R12" s="168"/>
      <c r="S12" s="168"/>
      <c r="T12" s="168"/>
      <c r="U12" s="168"/>
      <c r="V12" s="168"/>
      <c r="W12" s="854">
        <v>6</v>
      </c>
      <c r="X12" s="854"/>
    </row>
    <row r="13" spans="1:24">
      <c r="A13" s="1295"/>
      <c r="B13" s="1382"/>
      <c r="C13" s="1521"/>
      <c r="D13" s="217" t="s">
        <v>337</v>
      </c>
      <c r="E13" s="16"/>
      <c r="F13" s="16"/>
      <c r="G13" s="16"/>
      <c r="H13" s="16"/>
      <c r="I13" s="16"/>
      <c r="J13" s="16"/>
      <c r="K13" s="134"/>
      <c r="L13" s="134"/>
      <c r="M13" s="134"/>
      <c r="N13" s="134"/>
      <c r="O13" s="134"/>
      <c r="P13" s="134"/>
      <c r="Q13" s="134"/>
      <c r="R13" s="134"/>
      <c r="S13" s="134"/>
      <c r="T13" s="134"/>
      <c r="U13" s="134"/>
      <c r="V13" s="134"/>
      <c r="W13" s="855">
        <v>5</v>
      </c>
      <c r="X13" s="855"/>
    </row>
    <row r="14" spans="1:24">
      <c r="A14" s="1295"/>
      <c r="B14" s="1382"/>
      <c r="C14" s="1521"/>
      <c r="D14" s="217" t="s">
        <v>338</v>
      </c>
      <c r="E14" s="16"/>
      <c r="F14" s="16"/>
      <c r="G14" s="16"/>
      <c r="H14" s="16"/>
      <c r="I14" s="16"/>
      <c r="J14" s="16"/>
      <c r="K14" s="134"/>
      <c r="L14" s="134"/>
      <c r="M14" s="134"/>
      <c r="N14" s="134"/>
      <c r="O14" s="134"/>
      <c r="P14" s="134"/>
      <c r="Q14" s="134"/>
      <c r="R14" s="134"/>
      <c r="S14" s="134"/>
      <c r="T14" s="134"/>
      <c r="U14" s="134"/>
      <c r="V14" s="134"/>
      <c r="W14" s="855">
        <v>1</v>
      </c>
      <c r="X14" s="855"/>
    </row>
    <row r="15" spans="1:24" ht="15" thickBot="1">
      <c r="A15" s="1295"/>
      <c r="B15" s="1382"/>
      <c r="C15" s="1522"/>
      <c r="D15" s="856" t="s">
        <v>289</v>
      </c>
      <c r="E15" s="219"/>
      <c r="F15" s="219"/>
      <c r="G15" s="219"/>
      <c r="H15" s="219"/>
      <c r="I15" s="219"/>
      <c r="J15" s="219"/>
      <c r="K15" s="162"/>
      <c r="L15" s="162"/>
      <c r="M15" s="162"/>
      <c r="N15" s="162"/>
      <c r="O15" s="162"/>
      <c r="P15" s="162"/>
      <c r="Q15" s="162"/>
      <c r="R15" s="162"/>
      <c r="S15" s="162"/>
      <c r="T15" s="162"/>
      <c r="U15" s="162"/>
      <c r="V15" s="162"/>
      <c r="W15" s="1054">
        <f>+W14/W12*100</f>
        <v>16.666666666666664</v>
      </c>
      <c r="X15" s="846"/>
    </row>
    <row r="16" spans="1:24">
      <c r="A16" s="1295"/>
      <c r="B16" s="1382"/>
      <c r="C16" s="1520" t="s">
        <v>793</v>
      </c>
      <c r="D16" s="214" t="s">
        <v>344</v>
      </c>
      <c r="E16" s="215"/>
      <c r="F16" s="215"/>
      <c r="G16" s="215"/>
      <c r="H16" s="215"/>
      <c r="I16" s="215"/>
      <c r="J16" s="215"/>
      <c r="K16" s="168"/>
      <c r="L16" s="168"/>
      <c r="M16" s="168"/>
      <c r="N16" s="168"/>
      <c r="O16" s="168"/>
      <c r="P16" s="168"/>
      <c r="Q16" s="168"/>
      <c r="R16" s="168"/>
      <c r="S16" s="168"/>
      <c r="T16" s="168"/>
      <c r="U16" s="168"/>
      <c r="V16" s="168"/>
      <c r="W16" s="854">
        <v>12</v>
      </c>
      <c r="X16" s="854"/>
    </row>
    <row r="17" spans="1:25">
      <c r="A17" s="1295"/>
      <c r="B17" s="1382"/>
      <c r="C17" s="1521"/>
      <c r="D17" s="217" t="s">
        <v>337</v>
      </c>
      <c r="E17" s="16"/>
      <c r="F17" s="16"/>
      <c r="G17" s="16"/>
      <c r="H17" s="16"/>
      <c r="I17" s="16"/>
      <c r="J17" s="16"/>
      <c r="K17" s="134"/>
      <c r="L17" s="134"/>
      <c r="M17" s="134"/>
      <c r="N17" s="134"/>
      <c r="O17" s="134"/>
      <c r="P17" s="134"/>
      <c r="Q17" s="134"/>
      <c r="R17" s="134"/>
      <c r="S17" s="134"/>
      <c r="T17" s="134"/>
      <c r="U17" s="134"/>
      <c r="V17" s="134"/>
      <c r="W17" s="855">
        <v>6</v>
      </c>
      <c r="X17" s="855"/>
    </row>
    <row r="18" spans="1:25">
      <c r="A18" s="1295"/>
      <c r="B18" s="1382"/>
      <c r="C18" s="1521"/>
      <c r="D18" s="217" t="s">
        <v>338</v>
      </c>
      <c r="E18" s="16"/>
      <c r="F18" s="16"/>
      <c r="G18" s="16"/>
      <c r="H18" s="16"/>
      <c r="I18" s="16"/>
      <c r="J18" s="16"/>
      <c r="K18" s="134"/>
      <c r="L18" s="134"/>
      <c r="M18" s="134"/>
      <c r="N18" s="134"/>
      <c r="O18" s="134"/>
      <c r="P18" s="134"/>
      <c r="Q18" s="134"/>
      <c r="R18" s="134"/>
      <c r="S18" s="134"/>
      <c r="T18" s="134"/>
      <c r="U18" s="134"/>
      <c r="V18" s="134"/>
      <c r="W18" s="855">
        <v>6</v>
      </c>
      <c r="X18" s="855"/>
    </row>
    <row r="19" spans="1:25" ht="15" thickBot="1">
      <c r="A19" s="1295"/>
      <c r="B19" s="1506"/>
      <c r="C19" s="1522"/>
      <c r="D19" s="856" t="s">
        <v>289</v>
      </c>
      <c r="E19" s="219"/>
      <c r="F19" s="219"/>
      <c r="G19" s="219"/>
      <c r="H19" s="219"/>
      <c r="I19" s="219"/>
      <c r="J19" s="219"/>
      <c r="K19" s="162"/>
      <c r="L19" s="162"/>
      <c r="M19" s="162"/>
      <c r="N19" s="162"/>
      <c r="O19" s="162"/>
      <c r="P19" s="162"/>
      <c r="Q19" s="162"/>
      <c r="R19" s="162"/>
      <c r="S19" s="162"/>
      <c r="T19" s="162"/>
      <c r="U19" s="162"/>
      <c r="V19" s="162"/>
      <c r="W19" s="1055">
        <f>+W18/W16*100</f>
        <v>50</v>
      </c>
      <c r="X19" s="855"/>
    </row>
    <row r="20" spans="1:25" ht="15" thickBot="1">
      <c r="A20" s="1295"/>
      <c r="B20" s="212" t="s">
        <v>246</v>
      </c>
      <c r="C20" s="1523"/>
      <c r="D20" s="1524"/>
      <c r="E20" s="205">
        <v>2005</v>
      </c>
      <c r="F20" s="206">
        <v>2006</v>
      </c>
      <c r="G20" s="206">
        <v>2007</v>
      </c>
      <c r="H20" s="206">
        <v>2008</v>
      </c>
      <c r="I20" s="206">
        <v>2009</v>
      </c>
      <c r="J20" s="206">
        <v>2010</v>
      </c>
      <c r="K20" s="207">
        <v>2011</v>
      </c>
      <c r="L20" s="207">
        <v>2012</v>
      </c>
      <c r="M20" s="207">
        <v>2013</v>
      </c>
      <c r="N20" s="207">
        <v>2014</v>
      </c>
      <c r="O20" s="206">
        <v>2015</v>
      </c>
      <c r="P20" s="206">
        <v>2016</v>
      </c>
      <c r="Q20" s="206">
        <v>2017</v>
      </c>
      <c r="R20" s="206">
        <v>2018</v>
      </c>
      <c r="S20" s="206">
        <v>2019</v>
      </c>
      <c r="T20" s="206">
        <v>2020</v>
      </c>
      <c r="U20" s="206">
        <v>2021</v>
      </c>
      <c r="V20" s="206">
        <v>2022</v>
      </c>
      <c r="W20" s="208">
        <v>2023</v>
      </c>
      <c r="X20" s="206">
        <v>2024</v>
      </c>
    </row>
    <row r="21" spans="1:25">
      <c r="A21" s="1295"/>
      <c r="B21" s="1291" t="s">
        <v>794</v>
      </c>
      <c r="C21" s="1525" t="s">
        <v>416</v>
      </c>
      <c r="D21" s="1526"/>
      <c r="E21" s="297">
        <v>4.8250659809162881</v>
      </c>
      <c r="F21" s="297"/>
      <c r="G21" s="297"/>
      <c r="H21" s="297"/>
      <c r="I21" s="297"/>
      <c r="J21" s="297">
        <v>6.2559049804292082</v>
      </c>
      <c r="K21" s="297"/>
      <c r="L21" s="184"/>
      <c r="M21" s="184"/>
      <c r="N21" s="184"/>
      <c r="O21" s="297">
        <v>4.6878573061971185</v>
      </c>
      <c r="P21" s="297"/>
      <c r="Q21" s="297"/>
      <c r="R21" s="297"/>
      <c r="S21" s="297"/>
      <c r="T21" s="297">
        <v>4.673408034982236</v>
      </c>
      <c r="U21" s="297">
        <v>5.3107420305384405</v>
      </c>
      <c r="V21" s="297">
        <v>6.3615054043495256</v>
      </c>
      <c r="W21" s="1056">
        <v>5.298013245033113</v>
      </c>
      <c r="X21" s="1056">
        <v>4.5995515437244867</v>
      </c>
    </row>
    <row r="22" spans="1:25">
      <c r="A22" s="1295"/>
      <c r="B22" s="1512"/>
      <c r="C22" s="1501" t="s">
        <v>337</v>
      </c>
      <c r="D22" s="1502"/>
      <c r="E22" s="156">
        <v>6.3286313381624089</v>
      </c>
      <c r="F22" s="156"/>
      <c r="G22" s="156"/>
      <c r="H22" s="156"/>
      <c r="I22" s="156"/>
      <c r="J22" s="156">
        <v>7.6993824727368283</v>
      </c>
      <c r="K22" s="156"/>
      <c r="L22" s="133"/>
      <c r="M22" s="133"/>
      <c r="N22" s="133"/>
      <c r="O22" s="156">
        <v>6.4084616581116816</v>
      </c>
      <c r="P22" s="156"/>
      <c r="Q22" s="156"/>
      <c r="R22" s="156"/>
      <c r="S22" s="156"/>
      <c r="T22" s="156">
        <v>5.3614619725880139</v>
      </c>
      <c r="U22" s="156">
        <v>6.8533333333333335</v>
      </c>
      <c r="V22" s="156">
        <v>7.5381318542795919</v>
      </c>
      <c r="W22" s="1056">
        <v>6.5589818893783649</v>
      </c>
      <c r="X22" s="1056">
        <v>5.7985991503042831</v>
      </c>
    </row>
    <row r="23" spans="1:25">
      <c r="A23" s="1295"/>
      <c r="B23" s="1512"/>
      <c r="C23" s="1501" t="s">
        <v>338</v>
      </c>
      <c r="D23" s="1502"/>
      <c r="E23" s="156">
        <v>3.1127841320399594</v>
      </c>
      <c r="F23" s="156"/>
      <c r="G23" s="156"/>
      <c r="H23" s="156"/>
      <c r="I23" s="156"/>
      <c r="J23" s="156">
        <v>4.716981132075472</v>
      </c>
      <c r="K23" s="156"/>
      <c r="L23" s="133"/>
      <c r="M23" s="133"/>
      <c r="N23" s="133"/>
      <c r="O23" s="156">
        <v>3.0194319880418532</v>
      </c>
      <c r="P23" s="156"/>
      <c r="Q23" s="156"/>
      <c r="R23" s="156"/>
      <c r="S23" s="156"/>
      <c r="T23" s="156">
        <v>3.96163469557965</v>
      </c>
      <c r="U23" s="156">
        <v>3.767491926803014</v>
      </c>
      <c r="V23" s="156">
        <v>5.1043771043771047</v>
      </c>
      <c r="W23" s="1056">
        <v>4.030969644832247</v>
      </c>
      <c r="X23" s="1056">
        <v>3.3966609096142775</v>
      </c>
    </row>
    <row r="24" spans="1:25" ht="15" thickBot="1">
      <c r="A24" s="1296"/>
      <c r="B24" s="1293"/>
      <c r="C24" s="1503" t="s">
        <v>339</v>
      </c>
      <c r="D24" s="1504"/>
      <c r="E24" s="454">
        <f>+E23-E22</f>
        <v>-3.2158472061224495</v>
      </c>
      <c r="F24" s="221"/>
      <c r="G24" s="221"/>
      <c r="H24" s="221"/>
      <c r="I24" s="221"/>
      <c r="J24" s="454">
        <f>+J23-J22</f>
        <v>-2.9824013406613563</v>
      </c>
      <c r="K24" s="183"/>
      <c r="L24" s="183"/>
      <c r="M24" s="183"/>
      <c r="N24" s="183"/>
      <c r="O24" s="454">
        <f>+O23-O22</f>
        <v>-3.3890296700698284</v>
      </c>
      <c r="P24" s="183"/>
      <c r="Q24" s="183"/>
      <c r="R24" s="183"/>
      <c r="S24" s="183"/>
      <c r="T24" s="454">
        <f t="shared" ref="T24:X24" si="1">+T23-T22</f>
        <v>-1.399827277008364</v>
      </c>
      <c r="U24" s="454">
        <f t="shared" si="1"/>
        <v>-3.0858414065303195</v>
      </c>
      <c r="V24" s="454">
        <f t="shared" si="1"/>
        <v>-2.4337547499024872</v>
      </c>
      <c r="W24" s="1057">
        <f t="shared" si="1"/>
        <v>-2.5280122445461179</v>
      </c>
      <c r="X24" s="1057">
        <f t="shared" si="1"/>
        <v>-2.4019382406900056</v>
      </c>
    </row>
    <row r="25" spans="1:25" ht="15" customHeight="1" thickBot="1">
      <c r="A25" s="246" t="s">
        <v>285</v>
      </c>
      <c r="B25" s="212" t="s">
        <v>246</v>
      </c>
      <c r="C25" s="222"/>
      <c r="D25" s="223"/>
      <c r="E25" s="205">
        <v>2005</v>
      </c>
      <c r="F25" s="206">
        <v>2006</v>
      </c>
      <c r="G25" s="206">
        <v>2007</v>
      </c>
      <c r="H25" s="206">
        <v>2008</v>
      </c>
      <c r="I25" s="206">
        <v>2009</v>
      </c>
      <c r="J25" s="206">
        <v>2010</v>
      </c>
      <c r="K25" s="207">
        <v>2011</v>
      </c>
      <c r="L25" s="207">
        <v>2012</v>
      </c>
      <c r="M25" s="207">
        <v>2013</v>
      </c>
      <c r="N25" s="207">
        <v>2014</v>
      </c>
      <c r="O25" s="206">
        <v>2015</v>
      </c>
      <c r="P25" s="206">
        <v>2016</v>
      </c>
      <c r="Q25" s="206">
        <v>2017</v>
      </c>
      <c r="R25" s="206">
        <v>2018</v>
      </c>
      <c r="S25" s="206">
        <v>2019</v>
      </c>
      <c r="T25" s="206">
        <v>2020</v>
      </c>
      <c r="U25" s="206">
        <v>2021</v>
      </c>
      <c r="V25" s="206">
        <v>2022</v>
      </c>
      <c r="W25" s="208">
        <v>2023</v>
      </c>
      <c r="X25" s="206">
        <v>2024</v>
      </c>
      <c r="Y25" s="651">
        <f t="shared" ref="Y25" si="2">X25*100/V25</f>
        <v>100.09891196834818</v>
      </c>
    </row>
    <row r="26" spans="1:25">
      <c r="A26" s="1294" t="s">
        <v>204</v>
      </c>
      <c r="B26" s="1505" t="s">
        <v>795</v>
      </c>
      <c r="C26" s="1383" t="s">
        <v>257</v>
      </c>
      <c r="D26" s="1507"/>
      <c r="E26" s="220"/>
      <c r="F26" s="220"/>
      <c r="G26" s="220"/>
      <c r="H26" s="220"/>
      <c r="I26" s="220"/>
      <c r="J26" s="220"/>
      <c r="K26" s="173"/>
      <c r="L26" s="173"/>
      <c r="M26" s="173"/>
      <c r="N26" s="173"/>
      <c r="O26" s="160"/>
      <c r="P26" s="160">
        <v>16.100000000000001</v>
      </c>
      <c r="Q26" s="160">
        <v>13.4</v>
      </c>
      <c r="R26" s="160"/>
      <c r="S26" s="160">
        <v>14.8</v>
      </c>
      <c r="T26" s="160"/>
      <c r="U26" s="160"/>
      <c r="V26" s="224">
        <v>20.6</v>
      </c>
      <c r="W26" s="175"/>
      <c r="X26" s="175"/>
    </row>
    <row r="27" spans="1:25">
      <c r="A27" s="1295"/>
      <c r="B27" s="1382"/>
      <c r="C27" s="1501" t="s">
        <v>337</v>
      </c>
      <c r="D27" s="1502"/>
      <c r="E27" s="16"/>
      <c r="F27" s="16"/>
      <c r="G27" s="16"/>
      <c r="H27" s="16"/>
      <c r="I27" s="16"/>
      <c r="J27" s="16"/>
      <c r="K27" s="134"/>
      <c r="L27" s="134"/>
      <c r="M27" s="134"/>
      <c r="N27" s="134"/>
      <c r="O27" s="189"/>
      <c r="P27" s="189">
        <v>17.100000000000001</v>
      </c>
      <c r="Q27" s="189">
        <v>14.7</v>
      </c>
      <c r="R27" s="189"/>
      <c r="S27" s="189">
        <v>16.8</v>
      </c>
      <c r="T27" s="189"/>
      <c r="U27" s="189"/>
      <c r="V27" s="218">
        <v>22.1</v>
      </c>
      <c r="W27" s="155"/>
      <c r="X27" s="155"/>
    </row>
    <row r="28" spans="1:25">
      <c r="A28" s="1295"/>
      <c r="B28" s="1382"/>
      <c r="C28" s="1501" t="s">
        <v>338</v>
      </c>
      <c r="D28" s="1502"/>
      <c r="E28" s="16"/>
      <c r="F28" s="16"/>
      <c r="G28" s="16"/>
      <c r="H28" s="16"/>
      <c r="I28" s="16"/>
      <c r="J28" s="16"/>
      <c r="K28" s="134"/>
      <c r="L28" s="191"/>
      <c r="M28" s="191"/>
      <c r="N28" s="191"/>
      <c r="O28" s="225"/>
      <c r="P28" s="225">
        <v>15.2</v>
      </c>
      <c r="Q28" s="189">
        <v>12.3</v>
      </c>
      <c r="R28" s="225"/>
      <c r="S28" s="189">
        <v>13.1</v>
      </c>
      <c r="T28" s="189"/>
      <c r="U28" s="189"/>
      <c r="V28" s="218">
        <v>19.3</v>
      </c>
      <c r="W28" s="155"/>
      <c r="X28" s="155"/>
    </row>
    <row r="29" spans="1:25" ht="15" thickBot="1">
      <c r="A29" s="1295"/>
      <c r="B29" s="1506"/>
      <c r="C29" s="1508" t="s">
        <v>339</v>
      </c>
      <c r="D29" s="1509"/>
      <c r="E29" s="221"/>
      <c r="F29" s="221"/>
      <c r="G29" s="221"/>
      <c r="H29" s="221"/>
      <c r="I29" s="221"/>
      <c r="J29" s="221"/>
      <c r="K29" s="162"/>
      <c r="L29" s="191"/>
      <c r="M29" s="191"/>
      <c r="N29" s="191"/>
      <c r="O29" s="225"/>
      <c r="P29" s="454">
        <f>+P28-P27</f>
        <v>-1.9000000000000021</v>
      </c>
      <c r="Q29" s="454">
        <f>+Q28-Q27</f>
        <v>-2.3999999999999986</v>
      </c>
      <c r="R29" s="225"/>
      <c r="S29" s="454">
        <f>+S28-S27</f>
        <v>-3.7000000000000011</v>
      </c>
      <c r="T29" s="225"/>
      <c r="U29" s="225"/>
      <c r="V29" s="454">
        <f>+V28-V26</f>
        <v>-1.3000000000000007</v>
      </c>
      <c r="W29" s="182"/>
      <c r="X29" s="182"/>
    </row>
    <row r="30" spans="1:25" ht="15" thickBot="1">
      <c r="A30" s="1295"/>
      <c r="B30" s="212" t="s">
        <v>246</v>
      </c>
      <c r="C30" s="1518"/>
      <c r="D30" s="1519"/>
      <c r="E30" s="205">
        <v>2005</v>
      </c>
      <c r="F30" s="206">
        <v>2006</v>
      </c>
      <c r="G30" s="206">
        <v>2007</v>
      </c>
      <c r="H30" s="206">
        <v>2008</v>
      </c>
      <c r="I30" s="206">
        <v>2009</v>
      </c>
      <c r="J30" s="206">
        <v>2010</v>
      </c>
      <c r="K30" s="207">
        <v>2011</v>
      </c>
      <c r="L30" s="207">
        <v>2012</v>
      </c>
      <c r="M30" s="207">
        <v>2013</v>
      </c>
      <c r="N30" s="207">
        <v>2014</v>
      </c>
      <c r="O30" s="206">
        <v>2015</v>
      </c>
      <c r="P30" s="206">
        <v>2016</v>
      </c>
      <c r="Q30" s="206">
        <v>2017</v>
      </c>
      <c r="R30" s="206">
        <v>2018</v>
      </c>
      <c r="S30" s="206">
        <v>2019</v>
      </c>
      <c r="T30" s="206">
        <v>2020</v>
      </c>
      <c r="U30" s="206">
        <v>2021</v>
      </c>
      <c r="V30" s="206">
        <v>2022</v>
      </c>
      <c r="W30" s="208">
        <v>2023</v>
      </c>
      <c r="X30" s="206">
        <v>2024</v>
      </c>
    </row>
    <row r="31" spans="1:25">
      <c r="A31" s="1295"/>
      <c r="B31" s="1505" t="s">
        <v>796</v>
      </c>
      <c r="C31" s="1383" t="s">
        <v>257</v>
      </c>
      <c r="D31" s="1507"/>
      <c r="E31" s="220"/>
      <c r="F31" s="220"/>
      <c r="G31" s="220"/>
      <c r="H31" s="220"/>
      <c r="I31" s="220"/>
      <c r="J31" s="220"/>
      <c r="K31" s="173"/>
      <c r="L31" s="173"/>
      <c r="M31" s="173"/>
      <c r="N31" s="173"/>
      <c r="O31" s="160"/>
      <c r="P31" s="160">
        <v>22.5</v>
      </c>
      <c r="Q31" s="160">
        <v>23.6</v>
      </c>
      <c r="R31" s="160"/>
      <c r="S31" s="160">
        <v>18.399999999999999</v>
      </c>
      <c r="T31" s="160"/>
      <c r="U31" s="160"/>
      <c r="V31" s="224">
        <v>40.200000000000003</v>
      </c>
      <c r="W31" s="175"/>
      <c r="X31" s="175"/>
    </row>
    <row r="32" spans="1:25">
      <c r="A32" s="1295"/>
      <c r="B32" s="1382"/>
      <c r="C32" s="1501" t="s">
        <v>337</v>
      </c>
      <c r="D32" s="1502"/>
      <c r="E32" s="16"/>
      <c r="F32" s="16"/>
      <c r="G32" s="16"/>
      <c r="H32" s="16"/>
      <c r="I32" s="16"/>
      <c r="J32" s="16"/>
      <c r="K32" s="134"/>
      <c r="L32" s="134"/>
      <c r="M32" s="134"/>
      <c r="N32" s="134"/>
      <c r="O32" s="189"/>
      <c r="P32" s="189">
        <v>24.2</v>
      </c>
      <c r="Q32" s="189">
        <v>26.6</v>
      </c>
      <c r="R32" s="189"/>
      <c r="S32" s="189">
        <v>20.100000000000001</v>
      </c>
      <c r="T32" s="189"/>
      <c r="U32" s="189"/>
      <c r="V32" s="218">
        <v>45.2</v>
      </c>
      <c r="W32" s="155"/>
      <c r="X32" s="155"/>
    </row>
    <row r="33" spans="1:26">
      <c r="A33" s="1295"/>
      <c r="B33" s="1382"/>
      <c r="C33" s="1501" t="s">
        <v>338</v>
      </c>
      <c r="D33" s="1502"/>
      <c r="E33" s="16"/>
      <c r="F33" s="16"/>
      <c r="G33" s="16"/>
      <c r="H33" s="16"/>
      <c r="I33" s="16"/>
      <c r="J33" s="16"/>
      <c r="K33" s="134"/>
      <c r="L33" s="134"/>
      <c r="M33" s="134"/>
      <c r="N33" s="134"/>
      <c r="O33" s="189"/>
      <c r="P33" s="189">
        <v>21.1</v>
      </c>
      <c r="Q33" s="189">
        <v>21.2</v>
      </c>
      <c r="R33" s="189"/>
      <c r="S33" s="858">
        <v>17</v>
      </c>
      <c r="T33" s="226"/>
      <c r="U33" s="226"/>
      <c r="V33" s="857">
        <v>40</v>
      </c>
      <c r="W33" s="155"/>
      <c r="X33" s="155"/>
    </row>
    <row r="34" spans="1:26" ht="15" thickBot="1">
      <c r="A34" s="1295"/>
      <c r="B34" s="1506"/>
      <c r="C34" s="1527" t="s">
        <v>339</v>
      </c>
      <c r="D34" s="1528"/>
      <c r="E34" s="221"/>
      <c r="F34" s="221"/>
      <c r="G34" s="221"/>
      <c r="H34" s="221"/>
      <c r="I34" s="221"/>
      <c r="J34" s="221"/>
      <c r="K34" s="191"/>
      <c r="L34" s="191"/>
      <c r="M34" s="191"/>
      <c r="N34" s="191"/>
      <c r="O34" s="225"/>
      <c r="P34" s="454">
        <f>+P33-P32</f>
        <v>-3.0999999999999979</v>
      </c>
      <c r="Q34" s="454">
        <f>+Q33-Q32</f>
        <v>-5.4000000000000021</v>
      </c>
      <c r="R34" s="225"/>
      <c r="S34" s="454">
        <f>+S33-S32</f>
        <v>-3.1000000000000014</v>
      </c>
      <c r="T34" s="225"/>
      <c r="U34" s="225"/>
      <c r="V34" s="454">
        <f>+V33-V32</f>
        <v>-5.2000000000000028</v>
      </c>
      <c r="W34" s="182"/>
      <c r="X34" s="182"/>
    </row>
    <row r="35" spans="1:26" ht="15" thickBot="1">
      <c r="A35" s="1295"/>
      <c r="B35" s="859" t="s">
        <v>246</v>
      </c>
      <c r="C35" s="1529"/>
      <c r="D35" s="1530"/>
      <c r="E35" s="227">
        <v>2005</v>
      </c>
      <c r="F35" s="228">
        <v>2006</v>
      </c>
      <c r="G35" s="228">
        <v>2007</v>
      </c>
      <c r="H35" s="228">
        <v>2008</v>
      </c>
      <c r="I35" s="228">
        <v>2009</v>
      </c>
      <c r="J35" s="228">
        <v>2010</v>
      </c>
      <c r="K35" s="228">
        <v>2011</v>
      </c>
      <c r="L35" s="229">
        <v>2012</v>
      </c>
      <c r="M35" s="229">
        <v>2013</v>
      </c>
      <c r="N35" s="229">
        <v>2014</v>
      </c>
      <c r="O35" s="228">
        <v>2015</v>
      </c>
      <c r="P35" s="228">
        <v>2016</v>
      </c>
      <c r="Q35" s="228">
        <v>2017</v>
      </c>
      <c r="R35" s="228">
        <v>2018</v>
      </c>
      <c r="S35" s="228">
        <v>2019</v>
      </c>
      <c r="T35" s="228">
        <v>2020</v>
      </c>
      <c r="U35" s="228">
        <v>2021</v>
      </c>
      <c r="V35" s="228">
        <v>2022</v>
      </c>
      <c r="W35" s="230">
        <v>2023</v>
      </c>
      <c r="X35" s="228">
        <v>2024</v>
      </c>
    </row>
    <row r="36" spans="1:26" ht="14.5" customHeight="1">
      <c r="A36" s="1295"/>
      <c r="B36" s="1538" t="s">
        <v>797</v>
      </c>
      <c r="C36" s="1409" t="s">
        <v>344</v>
      </c>
      <c r="D36" s="1409"/>
      <c r="E36" s="190"/>
      <c r="F36" s="190"/>
      <c r="G36" s="190"/>
      <c r="H36" s="190"/>
      <c r="I36" s="190"/>
      <c r="J36" s="190"/>
      <c r="K36" s="190"/>
      <c r="L36" s="190"/>
      <c r="M36" s="190"/>
      <c r="N36" s="190"/>
      <c r="O36" s="190"/>
      <c r="P36" s="190"/>
      <c r="Q36" s="190"/>
      <c r="R36" s="190">
        <v>13329</v>
      </c>
      <c r="S36" s="190"/>
      <c r="T36" s="190"/>
      <c r="U36" s="817">
        <v>17921</v>
      </c>
      <c r="V36" s="817">
        <v>19456</v>
      </c>
      <c r="W36" s="818">
        <v>21002</v>
      </c>
      <c r="X36" s="1070">
        <v>22148</v>
      </c>
    </row>
    <row r="37" spans="1:26">
      <c r="A37" s="1295"/>
      <c r="B37" s="1539"/>
      <c r="C37" s="1411" t="s">
        <v>345</v>
      </c>
      <c r="D37" s="1411"/>
      <c r="E37" s="177"/>
      <c r="F37" s="177"/>
      <c r="G37" s="177"/>
      <c r="H37" s="177"/>
      <c r="I37" s="177"/>
      <c r="J37" s="177"/>
      <c r="K37" s="177"/>
      <c r="L37" s="177"/>
      <c r="M37" s="177"/>
      <c r="N37" s="177"/>
      <c r="O37" s="177"/>
      <c r="P37" s="177"/>
      <c r="Q37" s="177"/>
      <c r="R37" s="176">
        <v>4687</v>
      </c>
      <c r="S37" s="177"/>
      <c r="T37" s="177"/>
      <c r="U37" s="754">
        <v>6117</v>
      </c>
      <c r="V37" s="754">
        <v>6569</v>
      </c>
      <c r="W37" s="819">
        <v>7001</v>
      </c>
      <c r="X37" s="1070">
        <v>7336</v>
      </c>
    </row>
    <row r="38" spans="1:26">
      <c r="A38" s="1295"/>
      <c r="B38" s="1539"/>
      <c r="C38" s="1411" t="s">
        <v>346</v>
      </c>
      <c r="D38" s="1411"/>
      <c r="E38" s="177"/>
      <c r="F38" s="177"/>
      <c r="G38" s="177"/>
      <c r="H38" s="177"/>
      <c r="I38" s="177"/>
      <c r="J38" s="177"/>
      <c r="K38" s="177"/>
      <c r="L38" s="177"/>
      <c r="M38" s="177"/>
      <c r="N38" s="177"/>
      <c r="O38" s="177"/>
      <c r="P38" s="177"/>
      <c r="Q38" s="177"/>
      <c r="R38" s="176">
        <v>8627</v>
      </c>
      <c r="S38" s="177"/>
      <c r="T38" s="177"/>
      <c r="U38" s="754">
        <v>11794</v>
      </c>
      <c r="V38" s="754">
        <v>12882</v>
      </c>
      <c r="W38" s="819">
        <v>13997</v>
      </c>
      <c r="X38" s="1070">
        <v>14809</v>
      </c>
    </row>
    <row r="39" spans="1:26">
      <c r="A39" s="1295"/>
      <c r="B39" s="1539"/>
      <c r="C39" s="1531" t="s">
        <v>422</v>
      </c>
      <c r="D39" s="1531"/>
      <c r="E39" s="177"/>
      <c r="F39" s="177"/>
      <c r="G39" s="177"/>
      <c r="H39" s="177"/>
      <c r="I39" s="177"/>
      <c r="J39" s="177"/>
      <c r="K39" s="177"/>
      <c r="L39" s="177"/>
      <c r="M39" s="177"/>
      <c r="N39" s="177"/>
      <c r="O39" s="177"/>
      <c r="P39" s="177"/>
      <c r="Q39" s="177"/>
      <c r="R39" s="752">
        <f>+R38-R37</f>
        <v>3940</v>
      </c>
      <c r="S39" s="177"/>
      <c r="T39" s="177"/>
      <c r="U39" s="752">
        <f>+U38-U37</f>
        <v>5677</v>
      </c>
      <c r="V39" s="752">
        <f>+V38-V37</f>
        <v>6313</v>
      </c>
      <c r="W39" s="855">
        <f>+W38-W37</f>
        <v>6996</v>
      </c>
      <c r="X39" s="855">
        <f>+X38-X37</f>
        <v>7473</v>
      </c>
    </row>
    <row r="40" spans="1:26" ht="15" thickBot="1">
      <c r="A40" s="1295"/>
      <c r="B40" s="1540"/>
      <c r="C40" s="1537" t="s">
        <v>289</v>
      </c>
      <c r="D40" s="1537"/>
      <c r="E40" s="196"/>
      <c r="F40" s="196"/>
      <c r="G40" s="196"/>
      <c r="H40" s="196"/>
      <c r="I40" s="196"/>
      <c r="J40" s="196"/>
      <c r="K40" s="196"/>
      <c r="L40" s="196"/>
      <c r="M40" s="196"/>
      <c r="N40" s="196"/>
      <c r="O40" s="196"/>
      <c r="P40" s="196"/>
      <c r="Q40" s="196"/>
      <c r="R40" s="163">
        <f>+R38/R36*100</f>
        <v>64.723535148923403</v>
      </c>
      <c r="S40" s="196"/>
      <c r="T40" s="196"/>
      <c r="U40" s="163">
        <f>+U38/U36*100</f>
        <v>65.811059650689145</v>
      </c>
      <c r="V40" s="163">
        <f>+V38/V36*100</f>
        <v>66.2109375</v>
      </c>
      <c r="W40" s="243">
        <f>+W38/W36*100</f>
        <v>66.646033711075134</v>
      </c>
      <c r="X40" s="243">
        <f>+X38/X36*100</f>
        <v>66.863825176088127</v>
      </c>
    </row>
    <row r="41" spans="1:26" ht="15" thickBot="1">
      <c r="A41" s="1295"/>
      <c r="B41" s="860" t="s">
        <v>246</v>
      </c>
      <c r="C41" s="1510"/>
      <c r="D41" s="1532"/>
      <c r="E41" s="231">
        <v>2005</v>
      </c>
      <c r="F41" s="232">
        <v>2006</v>
      </c>
      <c r="G41" s="232">
        <v>2007</v>
      </c>
      <c r="H41" s="232">
        <v>2008</v>
      </c>
      <c r="I41" s="232">
        <v>2009</v>
      </c>
      <c r="J41" s="232">
        <v>2010</v>
      </c>
      <c r="K41" s="233">
        <v>2011</v>
      </c>
      <c r="L41" s="233">
        <v>2012</v>
      </c>
      <c r="M41" s="233">
        <v>2013</v>
      </c>
      <c r="N41" s="233">
        <v>2014</v>
      </c>
      <c r="O41" s="232">
        <v>2015</v>
      </c>
      <c r="P41" s="232">
        <v>2016</v>
      </c>
      <c r="Q41" s="232">
        <v>2017</v>
      </c>
      <c r="R41" s="232">
        <v>2018</v>
      </c>
      <c r="S41" s="232">
        <v>2019</v>
      </c>
      <c r="T41" s="232">
        <v>2020</v>
      </c>
      <c r="U41" s="232">
        <v>2021</v>
      </c>
      <c r="V41" s="232">
        <v>2022</v>
      </c>
      <c r="W41" s="234">
        <v>2023</v>
      </c>
      <c r="X41" s="232">
        <v>2024</v>
      </c>
      <c r="Y41"/>
      <c r="Z41"/>
    </row>
    <row r="42" spans="1:26">
      <c r="A42" s="1295"/>
      <c r="B42" s="1512" t="s">
        <v>798</v>
      </c>
      <c r="C42" s="1533" t="s">
        <v>799</v>
      </c>
      <c r="D42" s="1534"/>
      <c r="E42" s="236"/>
      <c r="F42" s="236">
        <v>1084</v>
      </c>
      <c r="G42" s="236"/>
      <c r="H42" s="236"/>
      <c r="I42" s="236"/>
      <c r="J42" s="174">
        <v>1694</v>
      </c>
      <c r="K42" s="174"/>
      <c r="L42" s="174"/>
      <c r="M42" s="174"/>
      <c r="N42" s="174"/>
      <c r="O42" s="174">
        <v>1817</v>
      </c>
      <c r="P42" s="174"/>
      <c r="Q42" s="174"/>
      <c r="R42" s="174">
        <v>2331</v>
      </c>
      <c r="S42" s="176">
        <v>2447</v>
      </c>
      <c r="T42" s="176">
        <v>2563</v>
      </c>
      <c r="U42" s="176"/>
      <c r="V42" s="176"/>
      <c r="W42" s="237">
        <v>2995</v>
      </c>
      <c r="X42" s="237"/>
      <c r="Y42" s="137"/>
      <c r="Z42" s="137"/>
    </row>
    <row r="43" spans="1:26">
      <c r="A43" s="1295"/>
      <c r="B43" s="1512"/>
      <c r="C43" s="1535" t="s">
        <v>800</v>
      </c>
      <c r="D43" s="1536"/>
      <c r="E43" s="238"/>
      <c r="F43" s="238">
        <v>57</v>
      </c>
      <c r="G43" s="238"/>
      <c r="H43" s="238"/>
      <c r="I43" s="238"/>
      <c r="J43" s="160">
        <v>81</v>
      </c>
      <c r="K43" s="160"/>
      <c r="L43" s="160"/>
      <c r="M43" s="160"/>
      <c r="N43" s="160"/>
      <c r="O43" s="160">
        <v>60</v>
      </c>
      <c r="P43" s="160"/>
      <c r="Q43" s="160"/>
      <c r="R43" s="160">
        <v>75</v>
      </c>
      <c r="S43" s="189">
        <v>77</v>
      </c>
      <c r="T43" s="133">
        <v>85</v>
      </c>
      <c r="U43" s="189"/>
      <c r="V43" s="133"/>
      <c r="W43" s="239">
        <v>98</v>
      </c>
      <c r="X43" s="239"/>
      <c r="Y43"/>
      <c r="Z43"/>
    </row>
    <row r="44" spans="1:26" ht="15" thickBot="1">
      <c r="A44" s="1295"/>
      <c r="B44" s="1293"/>
      <c r="C44" s="1527" t="s">
        <v>801</v>
      </c>
      <c r="D44" s="1528"/>
      <c r="E44" s="177"/>
      <c r="F44" s="861">
        <f>+F43/F42*100</f>
        <v>5.2583025830258308</v>
      </c>
      <c r="G44" s="245"/>
      <c r="H44" s="245"/>
      <c r="I44" s="245"/>
      <c r="J44" s="861">
        <f>+J43/J42*100</f>
        <v>4.781582054309327</v>
      </c>
      <c r="K44" s="177"/>
      <c r="L44" s="177"/>
      <c r="M44" s="177"/>
      <c r="N44" s="177"/>
      <c r="O44" s="861">
        <f>+O43/O42*100</f>
        <v>3.3021463951568517</v>
      </c>
      <c r="P44" s="177"/>
      <c r="Q44" s="177"/>
      <c r="R44" s="861">
        <f t="shared" ref="R44:T44" si="3">+R43/R42*100</f>
        <v>3.2175032175032174</v>
      </c>
      <c r="S44" s="861">
        <f t="shared" si="3"/>
        <v>3.1467102574581123</v>
      </c>
      <c r="T44" s="861">
        <f t="shared" si="3"/>
        <v>3.3164260632071794</v>
      </c>
      <c r="U44" s="196"/>
      <c r="V44" s="163"/>
      <c r="W44" s="1051">
        <f t="shared" ref="W44" si="4">+W43/W42*100</f>
        <v>3.2721202003338896</v>
      </c>
      <c r="X44" s="239"/>
    </row>
    <row r="45" spans="1:26" ht="15" thickBot="1">
      <c r="A45" s="1295"/>
      <c r="B45" s="212" t="s">
        <v>246</v>
      </c>
      <c r="C45" s="213"/>
      <c r="D45" s="235"/>
      <c r="E45" s="205">
        <v>2005</v>
      </c>
      <c r="F45" s="206">
        <v>2006</v>
      </c>
      <c r="G45" s="206">
        <v>2007</v>
      </c>
      <c r="H45" s="206">
        <v>2008</v>
      </c>
      <c r="I45" s="206">
        <v>2009</v>
      </c>
      <c r="J45" s="206">
        <v>2010</v>
      </c>
      <c r="K45" s="207">
        <v>2011</v>
      </c>
      <c r="L45" s="207">
        <v>2012</v>
      </c>
      <c r="M45" s="207">
        <v>2013</v>
      </c>
      <c r="N45" s="207">
        <v>2014</v>
      </c>
      <c r="O45" s="206">
        <v>2015</v>
      </c>
      <c r="P45" s="206">
        <v>2016</v>
      </c>
      <c r="Q45" s="206">
        <v>2017</v>
      </c>
      <c r="R45" s="206">
        <v>2018</v>
      </c>
      <c r="S45" s="206">
        <v>2019</v>
      </c>
      <c r="T45" s="206">
        <v>2020</v>
      </c>
      <c r="U45" s="206">
        <v>2021</v>
      </c>
      <c r="V45" s="206">
        <v>2022</v>
      </c>
      <c r="W45" s="208">
        <v>2023</v>
      </c>
      <c r="X45" s="206">
        <v>2024</v>
      </c>
    </row>
    <row r="46" spans="1:26">
      <c r="A46" s="1295"/>
      <c r="B46" s="1260" t="s">
        <v>802</v>
      </c>
      <c r="C46" s="1541" t="s">
        <v>416</v>
      </c>
      <c r="D46" s="1542"/>
      <c r="E46" s="240"/>
      <c r="F46" s="220"/>
      <c r="G46" s="220"/>
      <c r="H46" s="220"/>
      <c r="I46" s="220"/>
      <c r="J46" s="220"/>
      <c r="K46" s="173"/>
      <c r="L46" s="173"/>
      <c r="M46" s="173"/>
      <c r="N46" s="173"/>
      <c r="O46" s="173"/>
      <c r="P46" s="173"/>
      <c r="Q46" s="173"/>
      <c r="R46" s="173"/>
      <c r="S46" s="173"/>
      <c r="T46" s="173"/>
      <c r="U46" s="173"/>
      <c r="V46" s="841">
        <v>1036</v>
      </c>
      <c r="W46" s="863">
        <v>1269</v>
      </c>
      <c r="X46" s="863">
        <v>2054</v>
      </c>
    </row>
    <row r="47" spans="1:26">
      <c r="A47" s="1295"/>
      <c r="B47" s="1230"/>
      <c r="C47" s="1385" t="s">
        <v>345</v>
      </c>
      <c r="D47" s="1513"/>
      <c r="E47" s="241"/>
      <c r="F47" s="16"/>
      <c r="G47" s="16"/>
      <c r="H47" s="16"/>
      <c r="I47" s="16"/>
      <c r="J47" s="16"/>
      <c r="K47" s="134"/>
      <c r="L47" s="134"/>
      <c r="M47" s="134"/>
      <c r="N47" s="134"/>
      <c r="O47" s="134"/>
      <c r="P47" s="134"/>
      <c r="Q47" s="134"/>
      <c r="R47" s="134"/>
      <c r="S47" s="134"/>
      <c r="T47" s="134"/>
      <c r="U47" s="134"/>
      <c r="V47" s="752">
        <v>487</v>
      </c>
      <c r="W47" s="855">
        <v>629</v>
      </c>
      <c r="X47" s="855">
        <v>929</v>
      </c>
    </row>
    <row r="48" spans="1:26">
      <c r="A48" s="1295"/>
      <c r="B48" s="1230"/>
      <c r="C48" s="1385" t="s">
        <v>346</v>
      </c>
      <c r="D48" s="1513"/>
      <c r="E48" s="241"/>
      <c r="F48" s="16"/>
      <c r="G48" s="16"/>
      <c r="H48" s="16"/>
      <c r="I48" s="16"/>
      <c r="J48" s="16"/>
      <c r="K48" s="134"/>
      <c r="L48" s="134"/>
      <c r="M48" s="134"/>
      <c r="N48" s="134"/>
      <c r="O48" s="134"/>
      <c r="P48" s="134"/>
      <c r="Q48" s="134"/>
      <c r="R48" s="134"/>
      <c r="S48" s="134"/>
      <c r="T48" s="134"/>
      <c r="U48" s="134"/>
      <c r="V48" s="752">
        <v>312</v>
      </c>
      <c r="W48" s="855">
        <v>353</v>
      </c>
      <c r="X48" s="855">
        <v>540</v>
      </c>
    </row>
    <row r="49" spans="1:24">
      <c r="A49" s="1295"/>
      <c r="B49" s="1230"/>
      <c r="C49" s="1385" t="s">
        <v>803</v>
      </c>
      <c r="D49" s="1513"/>
      <c r="E49" s="862"/>
      <c r="F49" s="221"/>
      <c r="G49" s="221"/>
      <c r="H49" s="221"/>
      <c r="I49" s="221"/>
      <c r="J49" s="221"/>
      <c r="K49" s="191"/>
      <c r="L49" s="191"/>
      <c r="M49" s="191"/>
      <c r="N49" s="191"/>
      <c r="O49" s="191"/>
      <c r="P49" s="191"/>
      <c r="Q49" s="191"/>
      <c r="R49" s="191"/>
      <c r="S49" s="191"/>
      <c r="T49" s="191"/>
      <c r="U49" s="191"/>
      <c r="V49" s="756">
        <v>237</v>
      </c>
      <c r="W49" s="864">
        <v>287</v>
      </c>
      <c r="X49" s="864">
        <f>X46-(X47+X48)</f>
        <v>585</v>
      </c>
    </row>
    <row r="50" spans="1:24">
      <c r="A50" s="1295"/>
      <c r="B50" s="1230"/>
      <c r="C50" s="1385" t="s">
        <v>422</v>
      </c>
      <c r="D50" s="1513"/>
      <c r="E50" s="862"/>
      <c r="F50" s="221"/>
      <c r="G50" s="221"/>
      <c r="H50" s="221"/>
      <c r="I50" s="221"/>
      <c r="J50" s="221"/>
      <c r="K50" s="191"/>
      <c r="L50" s="191"/>
      <c r="M50" s="191"/>
      <c r="N50" s="191"/>
      <c r="O50" s="191"/>
      <c r="P50" s="191"/>
      <c r="Q50" s="191"/>
      <c r="R50" s="191"/>
      <c r="S50" s="191"/>
      <c r="T50" s="191"/>
      <c r="U50" s="191"/>
      <c r="V50" s="752">
        <f>+V48-V47</f>
        <v>-175</v>
      </c>
      <c r="W50" s="1059">
        <f>+W48-W47</f>
        <v>-276</v>
      </c>
      <c r="X50" s="1059">
        <f>+X48-X47</f>
        <v>-389</v>
      </c>
    </row>
    <row r="51" spans="1:24" ht="15" thickBot="1">
      <c r="A51" s="1296"/>
      <c r="B51" s="1405"/>
      <c r="C51" s="1543" t="s">
        <v>289</v>
      </c>
      <c r="D51" s="1544"/>
      <c r="E51" s="242"/>
      <c r="F51" s="219"/>
      <c r="G51" s="219"/>
      <c r="H51" s="219"/>
      <c r="I51" s="219"/>
      <c r="J51" s="219"/>
      <c r="K51" s="162"/>
      <c r="L51" s="162"/>
      <c r="M51" s="162"/>
      <c r="N51" s="162"/>
      <c r="O51" s="196"/>
      <c r="P51" s="196"/>
      <c r="Q51" s="196"/>
      <c r="R51" s="196"/>
      <c r="S51" s="162"/>
      <c r="T51" s="162"/>
      <c r="U51" s="162"/>
      <c r="V51" s="1058">
        <f>+V48/(V47+V48)*100</f>
        <v>39.048811013767207</v>
      </c>
      <c r="W51" s="1060">
        <f>+W48/(W47+W48)*100</f>
        <v>35.947046843177191</v>
      </c>
      <c r="X51" s="1060">
        <f>+X48/(X47+X48)*100</f>
        <v>36.759700476514631</v>
      </c>
    </row>
    <row r="52" spans="1:24">
      <c r="V52" s="865"/>
      <c r="W52" s="865"/>
    </row>
  </sheetData>
  <mergeCells count="50">
    <mergeCell ref="C40:D40"/>
    <mergeCell ref="B36:B40"/>
    <mergeCell ref="C49:D49"/>
    <mergeCell ref="C50:D50"/>
    <mergeCell ref="C44:D44"/>
    <mergeCell ref="B46:B51"/>
    <mergeCell ref="C46:D46"/>
    <mergeCell ref="C47:D47"/>
    <mergeCell ref="C48:D48"/>
    <mergeCell ref="C51:D51"/>
    <mergeCell ref="A26:A51"/>
    <mergeCell ref="C30:D30"/>
    <mergeCell ref="B31:B34"/>
    <mergeCell ref="C31:D31"/>
    <mergeCell ref="C32:D32"/>
    <mergeCell ref="C33:D33"/>
    <mergeCell ref="C34:D34"/>
    <mergeCell ref="C35:D35"/>
    <mergeCell ref="C36:D36"/>
    <mergeCell ref="C37:D37"/>
    <mergeCell ref="C38:D38"/>
    <mergeCell ref="C39:D39"/>
    <mergeCell ref="C41:D41"/>
    <mergeCell ref="B42:B44"/>
    <mergeCell ref="C42:D42"/>
    <mergeCell ref="C43:D43"/>
    <mergeCell ref="A1:W1"/>
    <mergeCell ref="C2:D2"/>
    <mergeCell ref="A3:A24"/>
    <mergeCell ref="B3:B6"/>
    <mergeCell ref="C3:D3"/>
    <mergeCell ref="C4:D4"/>
    <mergeCell ref="C5:D5"/>
    <mergeCell ref="C6:D6"/>
    <mergeCell ref="C7:D7"/>
    <mergeCell ref="B8:B19"/>
    <mergeCell ref="C8:C11"/>
    <mergeCell ref="C12:C15"/>
    <mergeCell ref="C16:C19"/>
    <mergeCell ref="C20:D20"/>
    <mergeCell ref="B21:B24"/>
    <mergeCell ref="C21:D21"/>
    <mergeCell ref="C22:D22"/>
    <mergeCell ref="C23:D23"/>
    <mergeCell ref="C24:D24"/>
    <mergeCell ref="B26:B29"/>
    <mergeCell ref="C26:D26"/>
    <mergeCell ref="C27:D27"/>
    <mergeCell ref="C28:D28"/>
    <mergeCell ref="C29:D29"/>
  </mergeCells>
  <conditionalFormatting sqref="E24">
    <cfRule type="cellIs" dxfId="70" priority="29" operator="lessThan">
      <formula>0</formula>
    </cfRule>
    <cfRule type="cellIs" dxfId="69" priority="30" operator="greaterThan">
      <formula>0</formula>
    </cfRule>
  </conditionalFormatting>
  <conditionalFormatting sqref="J43">
    <cfRule type="cellIs" dxfId="68" priority="44" operator="greaterThan">
      <formula>81</formula>
    </cfRule>
  </conditionalFormatting>
  <conditionalFormatting sqref="J24:V24">
    <cfRule type="cellIs" dxfId="67" priority="27" operator="lessThan">
      <formula>0</formula>
    </cfRule>
    <cfRule type="cellIs" dxfId="66" priority="28" operator="greaterThan">
      <formula>0</formula>
    </cfRule>
  </conditionalFormatting>
  <conditionalFormatting sqref="P29:Q29">
    <cfRule type="cellIs" dxfId="65" priority="21" operator="lessThan">
      <formula>0</formula>
    </cfRule>
    <cfRule type="cellIs" dxfId="64" priority="22" operator="greaterThan">
      <formula>0</formula>
    </cfRule>
  </conditionalFormatting>
  <conditionalFormatting sqref="P34:Q34">
    <cfRule type="cellIs" dxfId="63" priority="15" operator="lessThan">
      <formula>0</formula>
    </cfRule>
    <cfRule type="cellIs" dxfId="62" priority="16" operator="greaterThan">
      <formula>0</formula>
    </cfRule>
  </conditionalFormatting>
  <conditionalFormatting sqref="R39:R40">
    <cfRule type="cellIs" dxfId="61" priority="11" operator="lessThan">
      <formula>0</formula>
    </cfRule>
    <cfRule type="cellIs" dxfId="60" priority="12" operator="greaterThan">
      <formula>40</formula>
    </cfRule>
  </conditionalFormatting>
  <conditionalFormatting sqref="S29">
    <cfRule type="cellIs" dxfId="59" priority="23" operator="lessThan">
      <formula>0</formula>
    </cfRule>
    <cfRule type="cellIs" dxfId="58" priority="24" operator="greaterThan">
      <formula>0</formula>
    </cfRule>
  </conditionalFormatting>
  <conditionalFormatting sqref="S34">
    <cfRule type="cellIs" dxfId="57" priority="17" operator="lessThan">
      <formula>0</formula>
    </cfRule>
    <cfRule type="cellIs" dxfId="56" priority="18" operator="greaterThan">
      <formula>0</formula>
    </cfRule>
  </conditionalFormatting>
  <conditionalFormatting sqref="U39:X40">
    <cfRule type="cellIs" dxfId="55" priority="13" operator="lessThan">
      <formula>0</formula>
    </cfRule>
    <cfRule type="cellIs" dxfId="54" priority="14" operator="greaterThan">
      <formula>40</formula>
    </cfRule>
  </conditionalFormatting>
  <conditionalFormatting sqref="V29">
    <cfRule type="cellIs" dxfId="53" priority="25" operator="lessThan">
      <formula>0</formula>
    </cfRule>
    <cfRule type="cellIs" dxfId="52" priority="26" operator="greaterThan">
      <formula>0</formula>
    </cfRule>
  </conditionalFormatting>
  <conditionalFormatting sqref="V34">
    <cfRule type="cellIs" dxfId="51" priority="19" operator="lessThan">
      <formula>0</formula>
    </cfRule>
    <cfRule type="cellIs" dxfId="50" priority="20" operator="greaterThan">
      <formula>0</formula>
    </cfRule>
  </conditionalFormatting>
  <conditionalFormatting sqref="V50">
    <cfRule type="cellIs" dxfId="49" priority="7" operator="lessThan">
      <formula>"0ç"</formula>
    </cfRule>
  </conditionalFormatting>
  <conditionalFormatting sqref="V51">
    <cfRule type="cellIs" dxfId="48" priority="8" operator="between">
      <formula>60.1</formula>
      <formula>100</formula>
    </cfRule>
    <cfRule type="cellIs" dxfId="47" priority="9" operator="between">
      <formula>40</formula>
      <formula>60</formula>
    </cfRule>
    <cfRule type="cellIs" dxfId="46" priority="10" operator="between">
      <formula>0</formula>
      <formula>39.9</formula>
    </cfRule>
  </conditionalFormatting>
  <hyperlinks>
    <hyperlink ref="C30" location="PoderyDecisiones_G!A88" display="TOTAL" xr:uid="{9E189395-5028-4519-8BF0-F0EE49A6A8F2}"/>
    <hyperlink ref="C35" location="PoderyDecisiones_G!A88" display="TOTAL" xr:uid="{4A48053A-B1D8-4187-8F84-B6113736F093}"/>
    <hyperlink ref="C41" location="PoderyDecisiones_G!A88" display="TOTAL" xr:uid="{3EBD9773-8219-4FF1-8F1D-8B3719DCF0E4}"/>
    <hyperlink ref="C25" location="PoderyDecisiones_G!A88" display="TOTAL" xr:uid="{94103043-4979-4BFF-9776-364A7EB6E39B}"/>
    <hyperlink ref="C45" location="PoderyDecisiones_G!A88" display="TOTAL" xr:uid="{189F70C0-9E19-4793-B102-FC01FBEDDA18}"/>
    <hyperlink ref="X1" location="INDICE!A61" display="SIGEM" xr:uid="{DDC70941-BDD2-430F-873A-6110A2D485EF}"/>
    <hyperlink ref="B3:B6" location="INDICE!A58" display="8.1 Representación femenina en las Concejalías del Ayuntamiento de Madrid" xr:uid="{C211CE98-F034-49F3-AEEC-582C7BCE79AF}"/>
    <hyperlink ref="B8:B19" location="INDICE!A58" display="8.2.Representación femenina en las rectorías de las universidades públicas y privadas madrileñas" xr:uid="{3D543C55-D741-45B9-A365-C7FB067E4113}"/>
    <hyperlink ref="B21:B24" location="INDICE!A58" display="8.3 Porcentaje de población femenina ocupada en puestos de dirección o gerencia" xr:uid="{46374981-3240-4533-8F47-6760D3D5D4C7}"/>
    <hyperlink ref="B26:B29" location="INDICE!A58" display="8.4 Porcentaje de población de la ciudad de Madrid que pertenece a alguna asociación o entidad" xr:uid="{8312A9B0-7E9A-4DD8-A9CF-4C4DDBC2A825}"/>
    <hyperlink ref="B31:B34" location="INDICE!A58" display="8.5 Porcentaje de población de la ciudad de Madrid que indica que tiene interés en participar en asuntos municipales" xr:uid="{E0B4A619-2271-40D4-8742-BB19BE92C3D1}"/>
    <hyperlink ref="B36:B39" location="INDICE!A58" display="8.6 Personas inscritas en el Cuerpo de Voluntarios y Voluntarias del Ayuntamiento de Madrid" xr:uid="{E4F9C87B-437C-4CF9-A00F-E738505609A7}"/>
    <hyperlink ref="B42:B44" location="INDICE!A58" display="8.8 Ratio de asociaciones de mujeres (%)" xr:uid="{1D9F6073-E2A2-479A-B0EC-8DFDE92D270C}"/>
    <hyperlink ref="B46:B51" location="INDICE!A58" display="8.9 Solicitudes de acceso a la información pública" xr:uid="{3B88AEE5-0F7E-411F-8B41-18A26228D499}"/>
  </hyperlinks>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D8F7-D85B-477B-B8A6-3A7134BCC3A0}">
  <sheetPr>
    <tabColor rgb="FFE5E5FF"/>
  </sheetPr>
  <dimension ref="A1:Q7"/>
  <sheetViews>
    <sheetView showGridLines="0" topLeftCell="A80" zoomScale="80" zoomScaleNormal="80" workbookViewId="0">
      <selection activeCell="R52" sqref="R52"/>
    </sheetView>
  </sheetViews>
  <sheetFormatPr baseColWidth="10" defaultColWidth="11.453125" defaultRowHeight="14.5"/>
  <cols>
    <col min="15" max="15" width="12.26953125" customWidth="1"/>
  </cols>
  <sheetData>
    <row r="1" spans="1:17" ht="32" thickTop="1" thickBot="1">
      <c r="A1" s="1545" t="s">
        <v>789</v>
      </c>
      <c r="B1" s="1546"/>
      <c r="C1" s="1546"/>
      <c r="D1" s="1546"/>
      <c r="E1" s="1546"/>
      <c r="F1" s="1546"/>
      <c r="G1" s="1546"/>
      <c r="H1" s="1546"/>
      <c r="I1" s="1546"/>
      <c r="J1" s="1546"/>
      <c r="K1" s="1546"/>
      <c r="L1" s="1546"/>
      <c r="M1" s="1546"/>
      <c r="N1" s="1546"/>
      <c r="O1" s="1547"/>
      <c r="Q1" s="136" t="s">
        <v>245</v>
      </c>
    </row>
    <row r="3" spans="1:17" ht="15" thickBot="1"/>
    <row r="4" spans="1:17">
      <c r="L4" s="46"/>
      <c r="M4" s="62" t="s">
        <v>804</v>
      </c>
      <c r="N4" t="s">
        <v>805</v>
      </c>
      <c r="O4" t="s">
        <v>806</v>
      </c>
    </row>
    <row r="5" spans="1:17">
      <c r="L5" s="5" t="s">
        <v>337</v>
      </c>
      <c r="M5" s="63">
        <v>61.11</v>
      </c>
      <c r="N5" s="63">
        <v>83.333333333333329</v>
      </c>
      <c r="O5" s="66">
        <v>50</v>
      </c>
    </row>
    <row r="6" spans="1:17">
      <c r="L6" s="5" t="s">
        <v>338</v>
      </c>
      <c r="M6" s="63">
        <v>38.888888888888893</v>
      </c>
      <c r="N6" s="63">
        <v>16.666666666666668</v>
      </c>
      <c r="O6" s="66">
        <v>50</v>
      </c>
    </row>
    <row r="7" spans="1:17" ht="15" thickBot="1">
      <c r="L7" s="64" t="s">
        <v>469</v>
      </c>
      <c r="M7" s="65">
        <v>-22.222222222222221</v>
      </c>
      <c r="N7" s="65">
        <v>-66.666666666666657</v>
      </c>
      <c r="O7" s="67">
        <v>0</v>
      </c>
    </row>
  </sheetData>
  <mergeCells count="1">
    <mergeCell ref="A1:O1"/>
  </mergeCells>
  <conditionalFormatting sqref="M7:O7">
    <cfRule type="cellIs" dxfId="45" priority="1" operator="equal">
      <formula>0</formula>
    </cfRule>
    <cfRule type="cellIs" dxfId="44" priority="2" operator="greaterThan">
      <formula>0</formula>
    </cfRule>
    <cfRule type="cellIs" dxfId="43" priority="3" operator="lessThan">
      <formula>0</formula>
    </cfRule>
  </conditionalFormatting>
  <hyperlinks>
    <hyperlink ref="Q1" location="INDICE!A61" display="SIGEM" xr:uid="{940A8C44-FE99-48AC-8A38-230371344505}"/>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5EE8-57EC-4AB4-9C73-63719A76CC85}">
  <sheetPr>
    <tabColor rgb="FFE5E5FF"/>
  </sheetPr>
  <dimension ref="A1:W59"/>
  <sheetViews>
    <sheetView topLeftCell="A55" zoomScale="90" zoomScaleNormal="90" workbookViewId="0">
      <selection activeCell="D62" sqref="D62:D63"/>
    </sheetView>
  </sheetViews>
  <sheetFormatPr baseColWidth="10" defaultColWidth="11.453125" defaultRowHeight="14.5"/>
  <cols>
    <col min="1" max="1" width="19.453125" style="60" customWidth="1"/>
    <col min="2" max="2" width="136.1796875" style="399" customWidth="1"/>
    <col min="3" max="23" width="11.453125" style="60"/>
  </cols>
  <sheetData>
    <row r="1" spans="1:4" ht="32" thickTop="1" thickBot="1">
      <c r="A1" s="1548" t="s">
        <v>789</v>
      </c>
      <c r="B1" s="1548"/>
      <c r="D1" s="136" t="s">
        <v>245</v>
      </c>
    </row>
    <row r="2" spans="1:4" ht="16.5" customHeight="1">
      <c r="A2" s="1298" t="s">
        <v>790</v>
      </c>
      <c r="B2" s="1299"/>
    </row>
    <row r="3" spans="1:4" ht="29">
      <c r="A3" s="592" t="s">
        <v>263</v>
      </c>
      <c r="B3" s="593" t="s">
        <v>807</v>
      </c>
    </row>
    <row r="4" spans="1:4" ht="29">
      <c r="A4" s="252" t="s">
        <v>265</v>
      </c>
      <c r="B4" s="254" t="s">
        <v>808</v>
      </c>
    </row>
    <row r="5" spans="1:4">
      <c r="A5" s="252" t="s">
        <v>324</v>
      </c>
      <c r="B5" s="254" t="s">
        <v>809</v>
      </c>
    </row>
    <row r="6" spans="1:4">
      <c r="A6" s="252" t="s">
        <v>269</v>
      </c>
      <c r="B6" s="595" t="s">
        <v>810</v>
      </c>
    </row>
    <row r="7" spans="1:4">
      <c r="A7" s="252" t="s">
        <v>271</v>
      </c>
      <c r="B7" s="254" t="s">
        <v>811</v>
      </c>
    </row>
    <row r="8" spans="1:4">
      <c r="A8" s="252" t="s">
        <v>273</v>
      </c>
      <c r="B8" s="254" t="s">
        <v>669</v>
      </c>
    </row>
    <row r="9" spans="1:4" ht="15.75" customHeight="1">
      <c r="A9" s="1368" t="s">
        <v>812</v>
      </c>
      <c r="B9" s="1369"/>
    </row>
    <row r="10" spans="1:4">
      <c r="A10" s="252" t="s">
        <v>263</v>
      </c>
      <c r="B10" s="254" t="s">
        <v>813</v>
      </c>
    </row>
    <row r="11" spans="1:4" ht="43.5">
      <c r="A11" s="252" t="s">
        <v>265</v>
      </c>
      <c r="B11" s="254" t="s">
        <v>814</v>
      </c>
    </row>
    <row r="12" spans="1:4">
      <c r="A12" s="252" t="s">
        <v>324</v>
      </c>
      <c r="B12" s="254" t="s">
        <v>753</v>
      </c>
    </row>
    <row r="13" spans="1:4">
      <c r="A13" s="252" t="s">
        <v>269</v>
      </c>
      <c r="B13" s="595" t="s">
        <v>815</v>
      </c>
    </row>
    <row r="14" spans="1:4">
      <c r="A14" s="252" t="s">
        <v>271</v>
      </c>
      <c r="B14" s="254" t="s">
        <v>816</v>
      </c>
    </row>
    <row r="15" spans="1:4">
      <c r="A15" s="252" t="s">
        <v>273</v>
      </c>
      <c r="B15" s="254" t="s">
        <v>669</v>
      </c>
    </row>
    <row r="16" spans="1:4" ht="15.75" customHeight="1">
      <c r="A16" s="1368" t="s">
        <v>817</v>
      </c>
      <c r="B16" s="1369"/>
    </row>
    <row r="17" spans="1:3" ht="63.75" customHeight="1">
      <c r="A17" s="252" t="s">
        <v>263</v>
      </c>
      <c r="B17" s="254" t="s">
        <v>818</v>
      </c>
    </row>
    <row r="18" spans="1:3" ht="43.5">
      <c r="A18" s="252" t="s">
        <v>265</v>
      </c>
      <c r="B18" s="254" t="s">
        <v>819</v>
      </c>
    </row>
    <row r="19" spans="1:3">
      <c r="A19" s="252" t="s">
        <v>324</v>
      </c>
      <c r="B19" s="254" t="s">
        <v>279</v>
      </c>
      <c r="C19" s="1074"/>
    </row>
    <row r="20" spans="1:3">
      <c r="A20" s="252" t="s">
        <v>269</v>
      </c>
      <c r="B20" s="595" t="s">
        <v>659</v>
      </c>
    </row>
    <row r="21" spans="1:3">
      <c r="A21" s="252" t="s">
        <v>271</v>
      </c>
      <c r="B21" s="254" t="s">
        <v>820</v>
      </c>
    </row>
    <row r="22" spans="1:3">
      <c r="A22" s="252" t="s">
        <v>273</v>
      </c>
      <c r="B22" s="254" t="s">
        <v>821</v>
      </c>
    </row>
    <row r="23" spans="1:3" ht="15.75" customHeight="1">
      <c r="A23" s="1368" t="s">
        <v>822</v>
      </c>
      <c r="B23" s="1369"/>
    </row>
    <row r="24" spans="1:3">
      <c r="A24" s="252" t="s">
        <v>263</v>
      </c>
      <c r="B24" s="254" t="s">
        <v>823</v>
      </c>
    </row>
    <row r="25" spans="1:3" ht="43.5">
      <c r="A25" s="252" t="s">
        <v>265</v>
      </c>
      <c r="B25" s="254" t="s">
        <v>824</v>
      </c>
    </row>
    <row r="26" spans="1:3">
      <c r="A26" s="252" t="s">
        <v>324</v>
      </c>
      <c r="B26" s="254" t="s">
        <v>279</v>
      </c>
    </row>
    <row r="27" spans="1:3">
      <c r="A27" s="252" t="s">
        <v>269</v>
      </c>
      <c r="B27" s="595" t="s">
        <v>280</v>
      </c>
    </row>
    <row r="28" spans="1:3">
      <c r="A28" s="252" t="s">
        <v>282</v>
      </c>
      <c r="B28" s="594" t="s">
        <v>825</v>
      </c>
    </row>
    <row r="29" spans="1:3" ht="29">
      <c r="A29" s="252" t="s">
        <v>271</v>
      </c>
      <c r="B29" s="254" t="s">
        <v>826</v>
      </c>
    </row>
    <row r="30" spans="1:3">
      <c r="A30" s="252" t="s">
        <v>273</v>
      </c>
      <c r="B30" s="37" t="s">
        <v>827</v>
      </c>
    </row>
    <row r="31" spans="1:3" ht="15.75" customHeight="1">
      <c r="A31" s="1368" t="s">
        <v>828</v>
      </c>
      <c r="B31" s="1369"/>
    </row>
    <row r="32" spans="1:3">
      <c r="A32" s="252" t="s">
        <v>263</v>
      </c>
      <c r="B32" s="254" t="s">
        <v>829</v>
      </c>
    </row>
    <row r="33" spans="1:2" ht="72.5">
      <c r="A33" s="252" t="s">
        <v>265</v>
      </c>
      <c r="B33" s="254" t="s">
        <v>830</v>
      </c>
    </row>
    <row r="34" spans="1:2">
      <c r="A34" s="252" t="s">
        <v>324</v>
      </c>
      <c r="B34" s="254" t="s">
        <v>279</v>
      </c>
    </row>
    <row r="35" spans="1:2">
      <c r="A35" s="252" t="s">
        <v>269</v>
      </c>
      <c r="B35" s="395" t="s">
        <v>831</v>
      </c>
    </row>
    <row r="36" spans="1:2">
      <c r="A36" s="252" t="s">
        <v>282</v>
      </c>
      <c r="B36" s="594" t="s">
        <v>825</v>
      </c>
    </row>
    <row r="37" spans="1:2" ht="29">
      <c r="A37" s="252" t="s">
        <v>271</v>
      </c>
      <c r="B37" s="254" t="s">
        <v>826</v>
      </c>
    </row>
    <row r="38" spans="1:2">
      <c r="A38" s="252" t="s">
        <v>273</v>
      </c>
      <c r="B38" s="37" t="s">
        <v>827</v>
      </c>
    </row>
    <row r="39" spans="1:2" ht="15.75" customHeight="1">
      <c r="A39" s="1368" t="s">
        <v>797</v>
      </c>
      <c r="B39" s="1369"/>
    </row>
    <row r="40" spans="1:2">
      <c r="A40" s="252" t="s">
        <v>263</v>
      </c>
      <c r="B40" s="254" t="s">
        <v>832</v>
      </c>
    </row>
    <row r="41" spans="1:2" ht="43.5">
      <c r="A41" s="252" t="s">
        <v>265</v>
      </c>
      <c r="B41" s="254" t="s">
        <v>833</v>
      </c>
    </row>
    <row r="42" spans="1:2">
      <c r="A42" s="252" t="s">
        <v>324</v>
      </c>
      <c r="B42" s="596" t="s">
        <v>834</v>
      </c>
    </row>
    <row r="43" spans="1:2">
      <c r="A43" s="252" t="s">
        <v>269</v>
      </c>
      <c r="B43" s="395" t="s">
        <v>835</v>
      </c>
    </row>
    <row r="44" spans="1:2">
      <c r="A44" s="252" t="s">
        <v>271</v>
      </c>
      <c r="B44" s="254" t="s">
        <v>836</v>
      </c>
    </row>
    <row r="45" spans="1:2">
      <c r="A45" s="252" t="s">
        <v>273</v>
      </c>
      <c r="B45" s="254" t="s">
        <v>315</v>
      </c>
    </row>
    <row r="46" spans="1:2" ht="15.75" customHeight="1">
      <c r="A46" s="1368" t="s">
        <v>837</v>
      </c>
      <c r="B46" s="1369"/>
    </row>
    <row r="47" spans="1:2" ht="29">
      <c r="A47" s="252" t="s">
        <v>263</v>
      </c>
      <c r="B47" s="254" t="s">
        <v>838</v>
      </c>
    </row>
    <row r="48" spans="1:2">
      <c r="A48" s="252" t="s">
        <v>265</v>
      </c>
      <c r="B48" s="254" t="s">
        <v>839</v>
      </c>
    </row>
    <row r="49" spans="1:2">
      <c r="A49" s="252" t="s">
        <v>324</v>
      </c>
      <c r="B49" s="254" t="s">
        <v>279</v>
      </c>
    </row>
    <row r="50" spans="1:2">
      <c r="A50" s="252" t="s">
        <v>269</v>
      </c>
      <c r="B50" s="897" t="s">
        <v>840</v>
      </c>
    </row>
    <row r="51" spans="1:2">
      <c r="A51" s="252" t="s">
        <v>271</v>
      </c>
      <c r="B51" s="254" t="s">
        <v>841</v>
      </c>
    </row>
    <row r="52" spans="1:2">
      <c r="A52" s="252" t="s">
        <v>273</v>
      </c>
      <c r="B52" s="254" t="s">
        <v>315</v>
      </c>
    </row>
    <row r="53" spans="1:2" ht="15.75" customHeight="1">
      <c r="A53" s="1368" t="s">
        <v>802</v>
      </c>
      <c r="B53" s="1499"/>
    </row>
    <row r="54" spans="1:2" ht="29">
      <c r="A54" s="731" t="s">
        <v>263</v>
      </c>
      <c r="B54" s="866" t="s">
        <v>842</v>
      </c>
    </row>
    <row r="55" spans="1:2" ht="58">
      <c r="A55" s="252" t="s">
        <v>265</v>
      </c>
      <c r="B55" s="732" t="s">
        <v>843</v>
      </c>
    </row>
    <row r="56" spans="1:2">
      <c r="A56" s="252" t="s">
        <v>324</v>
      </c>
      <c r="B56" s="254" t="s">
        <v>279</v>
      </c>
    </row>
    <row r="57" spans="1:2">
      <c r="A57" s="252" t="s">
        <v>269</v>
      </c>
      <c r="B57" s="395" t="s">
        <v>844</v>
      </c>
    </row>
    <row r="58" spans="1:2">
      <c r="A58" s="252" t="s">
        <v>271</v>
      </c>
      <c r="B58" s="254" t="s">
        <v>845</v>
      </c>
    </row>
    <row r="59" spans="1:2">
      <c r="A59" s="257" t="s">
        <v>273</v>
      </c>
      <c r="B59" s="397" t="s">
        <v>846</v>
      </c>
    </row>
  </sheetData>
  <mergeCells count="9">
    <mergeCell ref="A39:B39"/>
    <mergeCell ref="A46:B46"/>
    <mergeCell ref="A53:B53"/>
    <mergeCell ref="A1:B1"/>
    <mergeCell ref="A2:B2"/>
    <mergeCell ref="A9:B9"/>
    <mergeCell ref="A16:B16"/>
    <mergeCell ref="A23:B23"/>
    <mergeCell ref="A31:B31"/>
  </mergeCells>
  <hyperlinks>
    <hyperlink ref="D1" location="INDICE!A61" display="SIGEM" xr:uid="{66C9F55F-D558-46C4-A8EE-FCE0286C8302}"/>
    <hyperlink ref="B27" r:id="rId1" display="Encuesta de Calidad de Vida y Satisfacción con los Servicios Públicos de la Ciudad de Madrid. En las versiones de la encuesta 2021 y 2022 no se han incluído preguntas sobre participación ciudadana. Años anteriores sin desagregación por sexo publicada." xr:uid="{79390CED-6C54-4CE5-A28C-8C3A31CB82F8}"/>
    <hyperlink ref="B35" r:id="rId2" display="Encuesta de Calidad de Vida y Satisfacción con los Servicios Públicos de la Ciudad de Madrid. En las versiones de la encuesta 2021 y 2022 no se han incluído preguntas sobre participación ciudadana. Años anteriores sin desagregación por sexo publicada." xr:uid="{5DAA1A84-FEFD-4C48-85F7-7D88DF21D00B}"/>
    <hyperlink ref="B50" r:id="rId3" display="Elaboración propia a partir del directorio de Asociaciones inscritas en el Censo de entidades y colectivos ciudadanos, disponible en el Portal de datos abiertos del Ayuntamiento de Madrid." xr:uid="{F5DA948F-5AEF-456E-B3B8-A5920E54B58E}"/>
    <hyperlink ref="B57" r:id="rId4" display="Elaboración propia a partir del Registro público de solicitudes de acceso y reclamaciones, disponible en el Portal de datos abiertos del Ayuntamiento de Madrid." xr:uid="{A4B3D94C-71A2-4694-AC2C-3E74F300808D}"/>
    <hyperlink ref="B6" r:id="rId5" display="https://datos.madrid.es/portal/site/egob/menuitem.c05c1f754a33a9fbe4b2e4b284f1a5a0/?vgnextoid=0ee64fc858ae0610VgnVCM1000001d4a900aRCRD&amp;vgnextchannel=374512b9ace9f310VgnVCM100000171f5a0aRCRD&amp;vgnextfmt=default" xr:uid="{B32ECD53-63B8-433C-B811-23A451149BEE}"/>
    <hyperlink ref="B43" r:id="rId6" xr:uid="{55EB1C8D-CBBE-49EE-AF30-AC38027F6E64}"/>
    <hyperlink ref="B20" r:id="rId7" xr:uid="{2BC57D18-AC59-43CB-BA23-67039BED2EE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5ED47-82AF-43F0-A8A0-66D88505F6D1}">
  <sheetPr>
    <tabColor rgb="FFC1FFF3"/>
  </sheetPr>
  <dimension ref="A1:X125"/>
  <sheetViews>
    <sheetView showGridLines="0" topLeftCell="A13" zoomScale="60" zoomScaleNormal="60" workbookViewId="0">
      <selection activeCell="Z86" sqref="Z86"/>
    </sheetView>
  </sheetViews>
  <sheetFormatPr baseColWidth="10" defaultColWidth="9.1796875" defaultRowHeight="14.5"/>
  <cols>
    <col min="1" max="1" width="26.453125" customWidth="1"/>
    <col min="2" max="2" width="42" customWidth="1"/>
    <col min="3" max="3" width="32.26953125" customWidth="1"/>
    <col min="4" max="4" width="23.1796875" customWidth="1"/>
    <col min="5" max="9" width="0" hidden="1" customWidth="1"/>
    <col min="15" max="15" width="10.1796875" bestFit="1" customWidth="1"/>
    <col min="17" max="17" width="9.7265625" bestFit="1" customWidth="1"/>
    <col min="18" max="18" width="9.7265625" customWidth="1"/>
    <col min="19" max="19" width="9.7265625" bestFit="1" customWidth="1"/>
    <col min="20" max="20" width="9.7265625" customWidth="1"/>
    <col min="21" max="22" width="10.1796875" bestFit="1" customWidth="1"/>
    <col min="23" max="23" width="10.54296875" bestFit="1" customWidth="1"/>
  </cols>
  <sheetData>
    <row r="1" spans="1:24" ht="32" thickTop="1" thickBot="1">
      <c r="A1" s="24" t="s">
        <v>847</v>
      </c>
      <c r="X1" s="148" t="s">
        <v>245</v>
      </c>
    </row>
    <row r="2" spans="1:24" ht="16.5" thickTop="1" thickBot="1">
      <c r="A2" s="104" t="s">
        <v>285</v>
      </c>
      <c r="B2" s="287" t="s">
        <v>246</v>
      </c>
      <c r="C2" s="69"/>
      <c r="D2" s="70"/>
      <c r="E2" s="54">
        <v>2005</v>
      </c>
      <c r="F2" s="54">
        <v>2006</v>
      </c>
      <c r="G2" s="54">
        <v>2007</v>
      </c>
      <c r="H2" s="54">
        <v>2008</v>
      </c>
      <c r="I2" s="54">
        <v>2009</v>
      </c>
      <c r="J2" s="54">
        <v>2010</v>
      </c>
      <c r="K2" s="54">
        <v>2011</v>
      </c>
      <c r="L2" s="54">
        <v>2012</v>
      </c>
      <c r="M2" s="54">
        <v>2013</v>
      </c>
      <c r="N2" s="54">
        <v>2014</v>
      </c>
      <c r="O2" s="54">
        <v>2015</v>
      </c>
      <c r="P2" s="54">
        <v>2016</v>
      </c>
      <c r="Q2" s="54">
        <v>2017</v>
      </c>
      <c r="R2" s="54">
        <v>2018</v>
      </c>
      <c r="S2" s="54">
        <v>2019</v>
      </c>
      <c r="T2" s="55">
        <v>2020</v>
      </c>
      <c r="U2" s="55">
        <v>2021</v>
      </c>
      <c r="V2" s="55">
        <v>2022</v>
      </c>
      <c r="W2" s="56">
        <v>2023</v>
      </c>
      <c r="X2" s="55">
        <v>2024</v>
      </c>
    </row>
    <row r="3" spans="1:24" ht="16" thickBot="1">
      <c r="A3" s="1561" t="s">
        <v>221</v>
      </c>
      <c r="B3" s="1564" t="s">
        <v>848</v>
      </c>
      <c r="C3" s="1581" t="s">
        <v>849</v>
      </c>
      <c r="D3" s="1350"/>
      <c r="E3" s="1350"/>
      <c r="F3" s="1350"/>
      <c r="G3" s="1350"/>
      <c r="H3" s="1350"/>
      <c r="I3" s="1350"/>
      <c r="J3" s="1350"/>
      <c r="K3" s="1350"/>
      <c r="L3" s="1350"/>
      <c r="M3" s="1350"/>
      <c r="N3" s="1350"/>
      <c r="O3" s="1350"/>
      <c r="P3" s="1350"/>
      <c r="Q3" s="1350"/>
      <c r="R3" s="1350"/>
      <c r="S3" s="1350"/>
      <c r="T3" s="1350"/>
      <c r="U3" s="1350"/>
      <c r="V3" s="1350"/>
      <c r="W3" s="1350"/>
      <c r="X3" s="1350"/>
    </row>
    <row r="4" spans="1:24" ht="15" customHeight="1">
      <c r="A4" s="1562"/>
      <c r="B4" s="1565"/>
      <c r="C4" s="1578" t="s">
        <v>850</v>
      </c>
      <c r="D4" s="1255"/>
      <c r="E4" s="7"/>
      <c r="F4" s="7"/>
      <c r="G4" s="7"/>
      <c r="H4" s="7"/>
      <c r="I4" s="7"/>
      <c r="J4" s="7"/>
      <c r="K4" s="7"/>
      <c r="L4" s="7"/>
      <c r="M4" s="7"/>
      <c r="N4" s="7"/>
      <c r="O4" s="7"/>
      <c r="P4" s="105">
        <v>87.5</v>
      </c>
      <c r="Q4" s="105">
        <v>91.300000000000011</v>
      </c>
      <c r="R4" s="105"/>
      <c r="S4" s="105">
        <v>91.3</v>
      </c>
      <c r="T4" s="105"/>
      <c r="U4" s="7"/>
      <c r="V4" s="7"/>
      <c r="W4" s="8"/>
      <c r="X4" s="8"/>
    </row>
    <row r="5" spans="1:24" ht="15" customHeight="1" thickBot="1">
      <c r="A5" s="1562"/>
      <c r="B5" s="1565"/>
      <c r="C5" s="1579" t="s">
        <v>851</v>
      </c>
      <c r="D5" s="1580"/>
      <c r="E5" s="9"/>
      <c r="F5" s="9"/>
      <c r="G5" s="9"/>
      <c r="H5" s="9"/>
      <c r="I5" s="9"/>
      <c r="J5" s="9"/>
      <c r="K5" s="9"/>
      <c r="L5" s="9"/>
      <c r="M5" s="9"/>
      <c r="N5" s="9"/>
      <c r="O5" s="9"/>
      <c r="P5" s="101">
        <v>84.2</v>
      </c>
      <c r="Q5" s="101">
        <v>86.9</v>
      </c>
      <c r="R5" s="101"/>
      <c r="S5" s="101">
        <v>87.6</v>
      </c>
      <c r="T5" s="101"/>
      <c r="U5" s="9"/>
      <c r="V5" s="9"/>
      <c r="W5" s="3"/>
      <c r="X5" s="3"/>
    </row>
    <row r="6" spans="1:24" ht="15.75" customHeight="1" thickBot="1">
      <c r="A6" s="1562"/>
      <c r="B6" s="1565"/>
      <c r="C6" s="1567" t="s">
        <v>339</v>
      </c>
      <c r="D6" s="1568"/>
      <c r="E6" s="44"/>
      <c r="F6" s="44"/>
      <c r="G6" s="44"/>
      <c r="H6" s="44"/>
      <c r="I6" s="44"/>
      <c r="J6" s="44"/>
      <c r="K6" s="44"/>
      <c r="L6" s="44"/>
      <c r="M6" s="44"/>
      <c r="N6" s="44"/>
      <c r="O6" s="44"/>
      <c r="P6" s="103">
        <f>+P5-P4</f>
        <v>-3.2999999999999972</v>
      </c>
      <c r="Q6" s="103">
        <f>+Q5-Q4</f>
        <v>-4.4000000000000057</v>
      </c>
      <c r="R6" s="103"/>
      <c r="S6" s="103">
        <f>+S5-S4</f>
        <v>-3.7000000000000028</v>
      </c>
      <c r="T6" s="103"/>
      <c r="U6" s="44"/>
      <c r="V6" s="44"/>
      <c r="W6" s="45"/>
      <c r="X6" s="45"/>
    </row>
    <row r="7" spans="1:24" ht="16" thickBot="1">
      <c r="A7" s="1562"/>
      <c r="B7" s="1565"/>
      <c r="C7" s="1582" t="s">
        <v>852</v>
      </c>
      <c r="D7" s="1583"/>
      <c r="E7" s="1583"/>
      <c r="F7" s="1583"/>
      <c r="G7" s="1583"/>
      <c r="H7" s="1583"/>
      <c r="I7" s="1583"/>
      <c r="J7" s="1583"/>
      <c r="K7" s="1583"/>
      <c r="L7" s="1583"/>
      <c r="M7" s="1583"/>
      <c r="N7" s="1583"/>
      <c r="O7" s="1583"/>
      <c r="P7" s="1583"/>
      <c r="Q7" s="1583"/>
      <c r="R7" s="1583"/>
      <c r="S7" s="1583"/>
      <c r="T7" s="1583"/>
      <c r="U7" s="1583"/>
      <c r="V7" s="1583"/>
      <c r="W7" s="1583"/>
      <c r="X7" s="1583"/>
    </row>
    <row r="8" spans="1:24" ht="15" customHeight="1">
      <c r="A8" s="1562"/>
      <c r="B8" s="1565"/>
      <c r="C8" s="1569" t="s">
        <v>853</v>
      </c>
      <c r="D8" s="1570"/>
      <c r="E8" s="10"/>
      <c r="F8" s="10"/>
      <c r="G8" s="10"/>
      <c r="H8" s="10"/>
      <c r="I8" s="10"/>
      <c r="J8" s="10"/>
      <c r="K8" s="10"/>
      <c r="L8" s="10"/>
      <c r="M8" s="10"/>
      <c r="N8" s="10"/>
      <c r="O8" s="10"/>
      <c r="P8" s="100"/>
      <c r="Q8" s="100"/>
      <c r="R8" s="100"/>
      <c r="S8" s="100"/>
      <c r="T8" s="100"/>
      <c r="U8" s="97">
        <v>8.1999999999999993</v>
      </c>
      <c r="V8" s="97">
        <v>8.3000000000000007</v>
      </c>
      <c r="W8" s="4">
        <v>7.9</v>
      </c>
      <c r="X8" s="4">
        <v>7.8</v>
      </c>
    </row>
    <row r="9" spans="1:24" ht="15" customHeight="1" thickBot="1">
      <c r="A9" s="1562"/>
      <c r="B9" s="1565"/>
      <c r="C9" s="1571" t="s">
        <v>854</v>
      </c>
      <c r="D9" s="1572"/>
      <c r="E9" s="7"/>
      <c r="F9" s="7"/>
      <c r="G9" s="7"/>
      <c r="H9" s="7"/>
      <c r="I9" s="7"/>
      <c r="J9" s="7"/>
      <c r="K9" s="7"/>
      <c r="L9" s="7"/>
      <c r="M9" s="7"/>
      <c r="N9" s="7"/>
      <c r="O9" s="7"/>
      <c r="P9" s="105"/>
      <c r="Q9" s="105"/>
      <c r="R9" s="105"/>
      <c r="S9" s="105"/>
      <c r="T9" s="105"/>
      <c r="U9" s="43">
        <v>8.1999999999999993</v>
      </c>
      <c r="V9" s="43">
        <v>8.1</v>
      </c>
      <c r="W9" s="8">
        <v>7.7</v>
      </c>
      <c r="X9" s="8">
        <v>7.8</v>
      </c>
    </row>
    <row r="10" spans="1:24" ht="15.75" customHeight="1" thickBot="1">
      <c r="A10" s="1562"/>
      <c r="B10" s="1566"/>
      <c r="C10" s="1567" t="s">
        <v>855</v>
      </c>
      <c r="D10" s="1568"/>
      <c r="E10" s="44"/>
      <c r="F10" s="44"/>
      <c r="G10" s="44"/>
      <c r="H10" s="44"/>
      <c r="I10" s="44"/>
      <c r="J10" s="44"/>
      <c r="K10" s="44"/>
      <c r="L10" s="44"/>
      <c r="M10" s="44"/>
      <c r="N10" s="44"/>
      <c r="O10" s="44"/>
      <c r="P10" s="103"/>
      <c r="Q10" s="103"/>
      <c r="R10" s="103"/>
      <c r="S10" s="103"/>
      <c r="T10" s="103"/>
      <c r="U10" s="71">
        <f>+U9-U8</f>
        <v>0</v>
      </c>
      <c r="V10" s="71">
        <f>+V9-V8</f>
        <v>-0.20000000000000107</v>
      </c>
      <c r="W10" s="71">
        <f>+W9-W8</f>
        <v>-0.20000000000000018</v>
      </c>
      <c r="X10" s="1062">
        <f>+X9-X8</f>
        <v>0</v>
      </c>
    </row>
    <row r="11" spans="1:24" ht="16" thickBot="1">
      <c r="A11" s="1563"/>
      <c r="B11" s="289" t="s">
        <v>246</v>
      </c>
      <c r="C11" s="69"/>
      <c r="D11" s="70"/>
      <c r="E11" s="54">
        <v>2005</v>
      </c>
      <c r="F11" s="54">
        <v>2006</v>
      </c>
      <c r="G11" s="54">
        <v>2007</v>
      </c>
      <c r="H11" s="54">
        <v>2008</v>
      </c>
      <c r="I11" s="54">
        <v>2009</v>
      </c>
      <c r="J11" s="54">
        <v>2010</v>
      </c>
      <c r="K11" s="54">
        <v>2011</v>
      </c>
      <c r="L11" s="54">
        <v>2012</v>
      </c>
      <c r="M11" s="54">
        <v>2013</v>
      </c>
      <c r="N11" s="54">
        <v>2014</v>
      </c>
      <c r="O11" s="54">
        <v>2015</v>
      </c>
      <c r="P11" s="54">
        <v>2016</v>
      </c>
      <c r="Q11" s="54">
        <v>2017</v>
      </c>
      <c r="R11" s="54">
        <v>2018</v>
      </c>
      <c r="S11" s="54">
        <v>2019</v>
      </c>
      <c r="T11" s="55">
        <v>2020</v>
      </c>
      <c r="U11" s="55">
        <v>2021</v>
      </c>
      <c r="V11" s="55">
        <v>2022</v>
      </c>
      <c r="W11" s="56">
        <v>2023</v>
      </c>
      <c r="X11" s="55">
        <v>2024</v>
      </c>
    </row>
    <row r="12" spans="1:24" ht="15" customHeight="1">
      <c r="A12" s="1562"/>
      <c r="B12" s="1573" t="s">
        <v>856</v>
      </c>
      <c r="C12" s="1584" t="s">
        <v>849</v>
      </c>
      <c r="D12" s="1585"/>
      <c r="E12" s="1585"/>
      <c r="F12" s="1585"/>
      <c r="G12" s="1585"/>
      <c r="H12" s="1585"/>
      <c r="I12" s="1585"/>
      <c r="J12" s="1585"/>
      <c r="K12" s="1585"/>
      <c r="L12" s="1585"/>
      <c r="M12" s="1585"/>
      <c r="N12" s="1585"/>
      <c r="O12" s="1585"/>
      <c r="P12" s="1585"/>
      <c r="Q12" s="1585"/>
      <c r="R12" s="1585"/>
      <c r="S12" s="1585"/>
      <c r="T12" s="1585"/>
      <c r="U12" s="1585"/>
      <c r="V12" s="1585"/>
      <c r="W12" s="1585"/>
      <c r="X12" s="1585"/>
    </row>
    <row r="13" spans="1:24" ht="15" customHeight="1">
      <c r="A13" s="1562"/>
      <c r="B13" s="1574"/>
      <c r="C13" s="1199" t="s">
        <v>850</v>
      </c>
      <c r="D13" s="1183"/>
      <c r="E13" s="1"/>
      <c r="F13" s="1"/>
      <c r="G13" s="1"/>
      <c r="H13" s="1"/>
      <c r="I13" s="1"/>
      <c r="J13" s="1"/>
      <c r="K13" s="1"/>
      <c r="L13" s="1"/>
      <c r="M13" s="1"/>
      <c r="N13" s="1"/>
      <c r="O13" s="1"/>
      <c r="P13" s="61">
        <v>69.199999999999989</v>
      </c>
      <c r="Q13" s="61">
        <v>77.2</v>
      </c>
      <c r="R13" s="61"/>
      <c r="S13" s="61">
        <v>72.900000000000006</v>
      </c>
      <c r="T13" s="800"/>
      <c r="U13" s="1"/>
      <c r="V13" s="1"/>
      <c r="W13" s="1"/>
      <c r="X13" s="8"/>
    </row>
    <row r="14" spans="1:24" ht="15" customHeight="1">
      <c r="A14" s="1562"/>
      <c r="B14" s="1574"/>
      <c r="C14" s="1199" t="s">
        <v>851</v>
      </c>
      <c r="D14" s="1183"/>
      <c r="E14" s="1"/>
      <c r="F14" s="1"/>
      <c r="G14" s="1"/>
      <c r="H14" s="1"/>
      <c r="I14" s="1"/>
      <c r="J14" s="1"/>
      <c r="K14" s="1"/>
      <c r="L14" s="1"/>
      <c r="M14" s="1"/>
      <c r="N14" s="1"/>
      <c r="O14" s="1"/>
      <c r="P14" s="61">
        <v>57.8</v>
      </c>
      <c r="Q14" s="61">
        <v>63</v>
      </c>
      <c r="R14" s="61"/>
      <c r="S14" s="61">
        <v>59.7</v>
      </c>
      <c r="T14" s="800"/>
      <c r="U14" s="1"/>
      <c r="V14" s="1"/>
      <c r="W14" s="1"/>
      <c r="X14" s="8"/>
    </row>
    <row r="15" spans="1:24" ht="15.75" customHeight="1">
      <c r="A15" s="1562"/>
      <c r="B15" s="1574"/>
      <c r="C15" s="1576" t="s">
        <v>339</v>
      </c>
      <c r="D15" s="1556"/>
      <c r="E15" s="1"/>
      <c r="F15" s="1"/>
      <c r="G15" s="1"/>
      <c r="H15" s="1"/>
      <c r="I15" s="1"/>
      <c r="J15" s="1"/>
      <c r="K15" s="1"/>
      <c r="L15" s="1"/>
      <c r="M15" s="1"/>
      <c r="N15" s="1"/>
      <c r="O15" s="1"/>
      <c r="P15" s="800">
        <f>+P14-P13</f>
        <v>-11.399999999999991</v>
      </c>
      <c r="Q15" s="800">
        <f>+Q14-Q13</f>
        <v>-14.200000000000003</v>
      </c>
      <c r="R15" s="800"/>
      <c r="S15" s="800">
        <f>+S14-S13</f>
        <v>-13.200000000000003</v>
      </c>
      <c r="T15" s="800"/>
      <c r="U15" s="800"/>
      <c r="V15" s="1"/>
      <c r="W15" s="1"/>
      <c r="X15" s="8"/>
    </row>
    <row r="16" spans="1:24" ht="15.75" customHeight="1">
      <c r="A16" s="1562"/>
      <c r="B16" s="1574"/>
      <c r="C16" s="1586" t="s">
        <v>852</v>
      </c>
      <c r="D16" s="1587"/>
      <c r="E16" s="1587"/>
      <c r="F16" s="1587"/>
      <c r="G16" s="1587"/>
      <c r="H16" s="1587"/>
      <c r="I16" s="1587"/>
      <c r="J16" s="1587"/>
      <c r="K16" s="1587"/>
      <c r="L16" s="1587"/>
      <c r="M16" s="1587"/>
      <c r="N16" s="1587"/>
      <c r="O16" s="1587"/>
      <c r="P16" s="1587"/>
      <c r="Q16" s="1587"/>
      <c r="R16" s="1587"/>
      <c r="S16" s="1587"/>
      <c r="T16" s="1587"/>
      <c r="U16" s="1587"/>
      <c r="V16" s="1587"/>
      <c r="W16" s="1587"/>
      <c r="X16" s="1587"/>
    </row>
    <row r="17" spans="1:24" ht="15" customHeight="1">
      <c r="A17" s="1562"/>
      <c r="B17" s="1574"/>
      <c r="C17" s="1247" t="s">
        <v>853</v>
      </c>
      <c r="D17" s="1558"/>
      <c r="E17" s="1"/>
      <c r="F17" s="1"/>
      <c r="G17" s="1"/>
      <c r="H17" s="1"/>
      <c r="I17" s="1"/>
      <c r="J17" s="1"/>
      <c r="K17" s="1"/>
      <c r="L17" s="1"/>
      <c r="M17" s="1"/>
      <c r="N17" s="1"/>
      <c r="O17" s="1"/>
      <c r="P17" s="1"/>
      <c r="Q17" s="1"/>
      <c r="R17" s="1"/>
      <c r="S17" s="1"/>
      <c r="T17" s="1"/>
      <c r="U17" s="61">
        <v>7</v>
      </c>
      <c r="V17" s="61">
        <v>7.1</v>
      </c>
      <c r="W17" s="5">
        <v>6.7</v>
      </c>
      <c r="X17" s="5">
        <v>6.6</v>
      </c>
    </row>
    <row r="18" spans="1:24" ht="15" customHeight="1">
      <c r="A18" s="1562"/>
      <c r="B18" s="1574"/>
      <c r="C18" s="1247" t="s">
        <v>854</v>
      </c>
      <c r="D18" s="1558"/>
      <c r="E18" s="1"/>
      <c r="F18" s="1"/>
      <c r="G18" s="1"/>
      <c r="H18" s="1"/>
      <c r="I18" s="1"/>
      <c r="J18" s="1"/>
      <c r="K18" s="1"/>
      <c r="L18" s="1"/>
      <c r="M18" s="1"/>
      <c r="N18" s="1"/>
      <c r="O18" s="1"/>
      <c r="P18" s="1"/>
      <c r="Q18" s="1"/>
      <c r="R18" s="1"/>
      <c r="S18" s="1"/>
      <c r="T18" s="1"/>
      <c r="U18" s="61">
        <v>6.5</v>
      </c>
      <c r="V18" s="61">
        <v>6.6</v>
      </c>
      <c r="W18" s="5">
        <v>6.3</v>
      </c>
      <c r="X18" s="5">
        <v>6.1</v>
      </c>
    </row>
    <row r="19" spans="1:24" ht="15.75" customHeight="1" thickBot="1">
      <c r="A19" s="1562"/>
      <c r="B19" s="1575"/>
      <c r="C19" s="1588" t="s">
        <v>855</v>
      </c>
      <c r="D19" s="1589"/>
      <c r="E19" s="9"/>
      <c r="F19" s="9"/>
      <c r="G19" s="9"/>
      <c r="H19" s="9"/>
      <c r="I19" s="9"/>
      <c r="J19" s="9"/>
      <c r="K19" s="9"/>
      <c r="L19" s="9"/>
      <c r="M19" s="9"/>
      <c r="N19" s="9"/>
      <c r="O19" s="9"/>
      <c r="P19" s="9"/>
      <c r="Q19" s="9"/>
      <c r="R19" s="9"/>
      <c r="S19" s="9"/>
      <c r="T19" s="9"/>
      <c r="U19" s="19">
        <f>+U18-U17</f>
        <v>-0.5</v>
      </c>
      <c r="V19" s="19">
        <f>+V18-V17</f>
        <v>-0.5</v>
      </c>
      <c r="W19" s="19">
        <f>+W18-W17</f>
        <v>-0.40000000000000036</v>
      </c>
      <c r="X19" s="1061">
        <f>+X18-X17</f>
        <v>-0.5</v>
      </c>
    </row>
    <row r="20" spans="1:24" ht="16" thickBot="1">
      <c r="A20" s="1563"/>
      <c r="B20" s="288" t="s">
        <v>246</v>
      </c>
      <c r="C20" s="869"/>
      <c r="D20" s="870"/>
      <c r="E20" s="871">
        <v>2005</v>
      </c>
      <c r="F20" s="871">
        <v>2006</v>
      </c>
      <c r="G20" s="871">
        <v>2007</v>
      </c>
      <c r="H20" s="871">
        <v>2008</v>
      </c>
      <c r="I20" s="871">
        <v>2009</v>
      </c>
      <c r="J20" s="871">
        <v>2010</v>
      </c>
      <c r="K20" s="871">
        <v>2011</v>
      </c>
      <c r="L20" s="871">
        <v>2012</v>
      </c>
      <c r="M20" s="871">
        <v>2013</v>
      </c>
      <c r="N20" s="871">
        <v>2014</v>
      </c>
      <c r="O20" s="871">
        <v>2015</v>
      </c>
      <c r="P20" s="871">
        <v>2016</v>
      </c>
      <c r="Q20" s="871">
        <v>2017</v>
      </c>
      <c r="R20" s="871">
        <v>2018</v>
      </c>
      <c r="S20" s="871">
        <v>2019</v>
      </c>
      <c r="T20" s="872">
        <v>2020</v>
      </c>
      <c r="U20" s="872">
        <v>2021</v>
      </c>
      <c r="V20" s="872">
        <v>2022</v>
      </c>
      <c r="W20" s="873">
        <v>2023</v>
      </c>
      <c r="X20" s="872">
        <v>2024</v>
      </c>
    </row>
    <row r="21" spans="1:24" ht="15.75" customHeight="1">
      <c r="A21" s="1563"/>
      <c r="B21" s="1229" t="s">
        <v>857</v>
      </c>
      <c r="C21" s="1246" t="s">
        <v>419</v>
      </c>
      <c r="D21" s="1577"/>
      <c r="E21" s="2"/>
      <c r="F21" s="2"/>
      <c r="G21" s="2"/>
      <c r="H21" s="2"/>
      <c r="I21" s="2"/>
      <c r="J21" s="2"/>
      <c r="K21" s="2"/>
      <c r="L21" s="2"/>
      <c r="M21" s="2"/>
      <c r="N21" s="2"/>
      <c r="O21" s="2"/>
      <c r="P21" s="2">
        <v>11.3</v>
      </c>
      <c r="Q21" s="2">
        <v>10.4</v>
      </c>
      <c r="R21" s="2"/>
      <c r="S21" s="18">
        <v>11.8</v>
      </c>
      <c r="T21" s="2"/>
      <c r="U21" s="18"/>
      <c r="V21" s="2"/>
      <c r="W21" s="5">
        <v>7.3</v>
      </c>
      <c r="X21" s="5">
        <v>7.3</v>
      </c>
    </row>
    <row r="22" spans="1:24" ht="15.75" customHeight="1">
      <c r="A22" s="1563"/>
      <c r="B22" s="1229"/>
      <c r="C22" s="1247" t="s">
        <v>337</v>
      </c>
      <c r="D22" s="1558"/>
      <c r="E22" s="1"/>
      <c r="F22" s="1"/>
      <c r="G22" s="1"/>
      <c r="H22" s="1"/>
      <c r="I22" s="1"/>
      <c r="J22" s="1"/>
      <c r="K22" s="1"/>
      <c r="L22" s="1"/>
      <c r="M22" s="1"/>
      <c r="N22" s="1"/>
      <c r="O22" s="1"/>
      <c r="P22" s="1">
        <v>10.3</v>
      </c>
      <c r="Q22" s="1">
        <v>8.6</v>
      </c>
      <c r="R22" s="1"/>
      <c r="S22" s="800">
        <v>10.5</v>
      </c>
      <c r="T22" s="1"/>
      <c r="U22" s="800"/>
      <c r="V22" s="1"/>
      <c r="W22" s="5">
        <v>6.3</v>
      </c>
      <c r="X22" s="5">
        <v>6.5</v>
      </c>
    </row>
    <row r="23" spans="1:24" ht="15.75" customHeight="1">
      <c r="A23" s="1563"/>
      <c r="B23" s="1229"/>
      <c r="C23" s="1247" t="s">
        <v>338</v>
      </c>
      <c r="D23" s="1558"/>
      <c r="E23" s="1"/>
      <c r="F23" s="1"/>
      <c r="G23" s="1"/>
      <c r="H23" s="1"/>
      <c r="I23" s="1"/>
      <c r="J23" s="1"/>
      <c r="K23" s="1"/>
      <c r="L23" s="1"/>
      <c r="M23" s="1"/>
      <c r="N23" s="1"/>
      <c r="O23" s="1"/>
      <c r="P23" s="1">
        <v>12.1</v>
      </c>
      <c r="Q23" s="1">
        <v>12</v>
      </c>
      <c r="R23" s="1"/>
      <c r="S23" s="800">
        <v>12.9</v>
      </c>
      <c r="T23" s="1"/>
      <c r="U23" s="800"/>
      <c r="V23" s="1"/>
      <c r="W23" s="5">
        <v>8.1999999999999993</v>
      </c>
      <c r="X23" s="5">
        <v>7.9</v>
      </c>
    </row>
    <row r="24" spans="1:24" ht="15.75" customHeight="1" thickBot="1">
      <c r="A24" s="1563"/>
      <c r="B24" s="1285"/>
      <c r="C24" s="1588" t="s">
        <v>339</v>
      </c>
      <c r="D24" s="1589"/>
      <c r="E24" s="9"/>
      <c r="F24" s="9"/>
      <c r="G24" s="9"/>
      <c r="H24" s="9"/>
      <c r="I24" s="9"/>
      <c r="J24" s="9"/>
      <c r="K24" s="9"/>
      <c r="L24" s="9"/>
      <c r="M24" s="9"/>
      <c r="N24" s="9"/>
      <c r="O24" s="9"/>
      <c r="P24" s="19">
        <f>+P23-P22</f>
        <v>1.7999999999999989</v>
      </c>
      <c r="Q24" s="19">
        <f>+Q23-Q22</f>
        <v>3.4000000000000004</v>
      </c>
      <c r="R24" s="19"/>
      <c r="S24" s="19">
        <f t="shared" ref="S24:X24" si="0">+S23-S22</f>
        <v>2.4000000000000004</v>
      </c>
      <c r="T24" s="19"/>
      <c r="U24" s="19"/>
      <c r="V24" s="19"/>
      <c r="W24" s="1063">
        <f t="shared" si="0"/>
        <v>1.8999999999999995</v>
      </c>
      <c r="X24" s="1063">
        <f t="shared" si="0"/>
        <v>1.4000000000000004</v>
      </c>
    </row>
    <row r="25" spans="1:24" ht="16" thickBot="1">
      <c r="A25" s="1563"/>
      <c r="B25" s="68" t="s">
        <v>246</v>
      </c>
      <c r="C25" s="869"/>
      <c r="D25" s="870"/>
      <c r="E25" s="871">
        <v>2005</v>
      </c>
      <c r="F25" s="871">
        <v>2006</v>
      </c>
      <c r="G25" s="871">
        <v>2007</v>
      </c>
      <c r="H25" s="871">
        <v>2008</v>
      </c>
      <c r="I25" s="871">
        <v>2009</v>
      </c>
      <c r="J25" s="871">
        <v>2010</v>
      </c>
      <c r="K25" s="871">
        <v>2011</v>
      </c>
      <c r="L25" s="871">
        <v>2012</v>
      </c>
      <c r="M25" s="871">
        <v>2013</v>
      </c>
      <c r="N25" s="871">
        <v>2014</v>
      </c>
      <c r="O25" s="871">
        <v>2015</v>
      </c>
      <c r="P25" s="871">
        <v>2016</v>
      </c>
      <c r="Q25" s="871">
        <v>2017</v>
      </c>
      <c r="R25" s="871">
        <v>2018</v>
      </c>
      <c r="S25" s="871">
        <v>2019</v>
      </c>
      <c r="T25" s="872">
        <v>2020</v>
      </c>
      <c r="U25" s="872">
        <v>2021</v>
      </c>
      <c r="V25" s="872">
        <v>2022</v>
      </c>
      <c r="W25" s="872">
        <v>2023</v>
      </c>
      <c r="X25" s="872">
        <v>2024</v>
      </c>
    </row>
    <row r="26" spans="1:24" ht="15" customHeight="1">
      <c r="A26" s="1563"/>
      <c r="B26" s="1590" t="s">
        <v>858</v>
      </c>
      <c r="C26" s="1246" t="s">
        <v>416</v>
      </c>
      <c r="D26" s="1577"/>
      <c r="E26" s="72"/>
      <c r="F26" s="72"/>
      <c r="G26" s="400"/>
      <c r="H26" s="400"/>
      <c r="I26" s="400"/>
      <c r="J26" s="400">
        <v>23381</v>
      </c>
      <c r="K26" s="400"/>
      <c r="L26" s="400"/>
      <c r="M26" s="400"/>
      <c r="N26" s="400"/>
      <c r="O26" s="400">
        <v>26973</v>
      </c>
      <c r="P26" s="400"/>
      <c r="Q26" s="400"/>
      <c r="R26" s="400"/>
      <c r="S26" s="400"/>
      <c r="T26" s="400">
        <v>28398</v>
      </c>
      <c r="U26" s="400">
        <v>35119</v>
      </c>
      <c r="V26" s="400">
        <v>37649</v>
      </c>
      <c r="W26" s="874">
        <v>47903</v>
      </c>
      <c r="X26" s="874"/>
    </row>
    <row r="27" spans="1:24" ht="15" customHeight="1">
      <c r="A27" s="1563"/>
      <c r="B27" s="1382"/>
      <c r="C27" s="1247" t="s">
        <v>345</v>
      </c>
      <c r="D27" s="1558"/>
      <c r="E27" s="73"/>
      <c r="F27" s="73"/>
      <c r="G27" s="122"/>
      <c r="H27" s="122"/>
      <c r="I27" s="122"/>
      <c r="J27" s="868">
        <f>(20946)</f>
        <v>20946</v>
      </c>
      <c r="K27" s="868"/>
      <c r="L27" s="868"/>
      <c r="M27" s="868"/>
      <c r="N27" s="868"/>
      <c r="O27" s="868">
        <f>(22813)</f>
        <v>22813</v>
      </c>
      <c r="P27" s="868"/>
      <c r="Q27" s="868"/>
      <c r="R27" s="868"/>
      <c r="S27" s="868"/>
      <c r="T27" s="868">
        <f>(21500)</f>
        <v>21500</v>
      </c>
      <c r="U27" s="868">
        <f>(26764)</f>
        <v>26764</v>
      </c>
      <c r="V27" s="868">
        <v>28903</v>
      </c>
      <c r="W27" s="1084">
        <v>37379</v>
      </c>
      <c r="X27" s="5"/>
    </row>
    <row r="28" spans="1:24" ht="15" customHeight="1">
      <c r="A28" s="1563"/>
      <c r="B28" s="1382"/>
      <c r="C28" s="1247" t="s">
        <v>346</v>
      </c>
      <c r="D28" s="1558"/>
      <c r="E28" s="73"/>
      <c r="F28" s="73"/>
      <c r="G28" s="122"/>
      <c r="H28" s="122"/>
      <c r="I28" s="122"/>
      <c r="J28" s="868">
        <f>(2435)</f>
        <v>2435</v>
      </c>
      <c r="K28" s="868"/>
      <c r="L28" s="868"/>
      <c r="M28" s="868"/>
      <c r="N28" s="868"/>
      <c r="O28" s="868">
        <f>(4160)</f>
        <v>4160</v>
      </c>
      <c r="P28" s="868"/>
      <c r="Q28" s="868"/>
      <c r="R28" s="868"/>
      <c r="S28" s="868"/>
      <c r="T28" s="868">
        <f>(6898)</f>
        <v>6898</v>
      </c>
      <c r="U28" s="868">
        <f>(8355)</f>
        <v>8355</v>
      </c>
      <c r="V28" s="868">
        <v>8746</v>
      </c>
      <c r="W28" s="1084">
        <v>10524</v>
      </c>
      <c r="X28" s="5"/>
    </row>
    <row r="29" spans="1:24" ht="15" customHeight="1">
      <c r="A29" s="1563"/>
      <c r="B29" s="1506"/>
      <c r="C29" s="1576" t="s">
        <v>422</v>
      </c>
      <c r="D29" s="1556"/>
      <c r="E29" s="73"/>
      <c r="F29" s="73"/>
      <c r="G29" s="122"/>
      <c r="H29" s="122"/>
      <c r="I29" s="122"/>
      <c r="J29" s="752">
        <f>+J28-J27</f>
        <v>-18511</v>
      </c>
      <c r="K29" s="122"/>
      <c r="L29" s="122"/>
      <c r="M29" s="122"/>
      <c r="N29" s="122"/>
      <c r="O29" s="752">
        <f>+O28-O27</f>
        <v>-18653</v>
      </c>
      <c r="P29" s="122"/>
      <c r="Q29" s="122"/>
      <c r="R29" s="122"/>
      <c r="S29" s="122"/>
      <c r="T29" s="752">
        <f t="shared" ref="T29:W29" si="1">+T28-T27</f>
        <v>-14602</v>
      </c>
      <c r="U29" s="752">
        <f t="shared" si="1"/>
        <v>-18409</v>
      </c>
      <c r="V29" s="752">
        <f t="shared" si="1"/>
        <v>-20157</v>
      </c>
      <c r="W29" s="1064">
        <f t="shared" si="1"/>
        <v>-26855</v>
      </c>
      <c r="X29" s="752"/>
    </row>
    <row r="30" spans="1:24" ht="15.75" customHeight="1">
      <c r="A30" s="1563"/>
      <c r="B30" s="1506"/>
      <c r="C30" s="1591" t="s">
        <v>289</v>
      </c>
      <c r="D30" s="1592"/>
      <c r="E30" s="903"/>
      <c r="F30" s="903"/>
      <c r="G30" s="904"/>
      <c r="H30" s="904"/>
      <c r="I30" s="904"/>
      <c r="J30" s="454">
        <f>+J28/J26*100</f>
        <v>10.41443907446217</v>
      </c>
      <c r="K30" s="904"/>
      <c r="L30" s="904"/>
      <c r="M30" s="904"/>
      <c r="N30" s="904"/>
      <c r="O30" s="454">
        <f>+O28/O26*100</f>
        <v>15.422830237645051</v>
      </c>
      <c r="P30" s="904"/>
      <c r="Q30" s="904"/>
      <c r="R30" s="904"/>
      <c r="S30" s="904"/>
      <c r="T30" s="454">
        <f t="shared" ref="T30:W30" si="2">+T28/T26*100</f>
        <v>24.290442988942885</v>
      </c>
      <c r="U30" s="454">
        <f t="shared" si="2"/>
        <v>23.790540732936588</v>
      </c>
      <c r="V30" s="454">
        <f t="shared" si="2"/>
        <v>23.230364684320964</v>
      </c>
      <c r="W30" s="1065">
        <f t="shared" si="2"/>
        <v>21.969396488737658</v>
      </c>
      <c r="X30" s="454"/>
    </row>
    <row r="31" spans="1:24" ht="16.5" customHeight="1" thickBot="1">
      <c r="A31" s="1549" t="s">
        <v>234</v>
      </c>
      <c r="B31" s="893" t="s">
        <v>246</v>
      </c>
      <c r="C31" s="964"/>
      <c r="D31" s="964"/>
      <c r="E31" s="965">
        <v>2005</v>
      </c>
      <c r="F31" s="965">
        <v>2006</v>
      </c>
      <c r="G31" s="965">
        <v>2007</v>
      </c>
      <c r="H31" s="965">
        <v>2008</v>
      </c>
      <c r="I31" s="965">
        <v>2009</v>
      </c>
      <c r="J31" s="965">
        <v>2010</v>
      </c>
      <c r="K31" s="965">
        <v>2011</v>
      </c>
      <c r="L31" s="965">
        <v>2012</v>
      </c>
      <c r="M31" s="965">
        <v>2013</v>
      </c>
      <c r="N31" s="965">
        <v>2014</v>
      </c>
      <c r="O31" s="965">
        <v>2015</v>
      </c>
      <c r="P31" s="965">
        <v>2016</v>
      </c>
      <c r="Q31" s="965">
        <v>2017</v>
      </c>
      <c r="R31" s="965">
        <v>2018</v>
      </c>
      <c r="S31" s="965">
        <v>2019</v>
      </c>
      <c r="T31" s="965">
        <v>2020</v>
      </c>
      <c r="U31" s="965">
        <v>2021</v>
      </c>
      <c r="V31" s="965">
        <v>2022</v>
      </c>
      <c r="W31" s="965">
        <v>2023</v>
      </c>
      <c r="X31" s="965">
        <v>2024</v>
      </c>
    </row>
    <row r="32" spans="1:24" ht="14.5" customHeight="1">
      <c r="A32" s="1549"/>
      <c r="B32" s="1550" t="s">
        <v>859</v>
      </c>
      <c r="C32" s="1552" t="s">
        <v>419</v>
      </c>
      <c r="D32" s="2" t="s">
        <v>860</v>
      </c>
      <c r="E32" s="2"/>
      <c r="F32" s="2"/>
      <c r="G32" s="2"/>
      <c r="H32" s="2"/>
      <c r="I32" s="2"/>
      <c r="J32" s="2"/>
      <c r="K32" s="2"/>
      <c r="L32" s="2"/>
      <c r="M32" s="2"/>
      <c r="N32" s="2"/>
      <c r="O32" s="2"/>
      <c r="P32" s="966">
        <v>64.7</v>
      </c>
      <c r="Q32" s="966"/>
      <c r="R32" s="966"/>
      <c r="S32" s="966">
        <v>62.8</v>
      </c>
      <c r="T32" s="966"/>
      <c r="U32" s="966">
        <v>56.2</v>
      </c>
      <c r="V32" s="966">
        <v>56.5</v>
      </c>
      <c r="W32" s="898">
        <v>62.9</v>
      </c>
      <c r="X32" s="27">
        <v>59.85</v>
      </c>
    </row>
    <row r="33" spans="1:24" ht="14.5" customHeight="1">
      <c r="A33" s="1549"/>
      <c r="B33" s="1550"/>
      <c r="C33" s="1553"/>
      <c r="D33" s="899" t="s">
        <v>861</v>
      </c>
      <c r="E33" s="1"/>
      <c r="F33" s="1"/>
      <c r="G33" s="1"/>
      <c r="H33" s="1"/>
      <c r="I33" s="1"/>
      <c r="J33" s="1"/>
      <c r="K33" s="1"/>
      <c r="L33" s="1"/>
      <c r="M33" s="1"/>
      <c r="N33" s="1"/>
      <c r="O33" s="1"/>
      <c r="P33" s="898">
        <v>5.3</v>
      </c>
      <c r="Q33" s="898"/>
      <c r="R33" s="898"/>
      <c r="S33" s="898">
        <v>5.4</v>
      </c>
      <c r="T33" s="898"/>
      <c r="U33" s="898">
        <v>6.3</v>
      </c>
      <c r="V33" s="898">
        <v>6.7</v>
      </c>
      <c r="W33" s="898">
        <v>9.6999999999999993</v>
      </c>
      <c r="X33" s="27">
        <v>0</v>
      </c>
    </row>
    <row r="34" spans="1:24" ht="14.5" customHeight="1">
      <c r="A34" s="1549"/>
      <c r="B34" s="1550"/>
      <c r="C34" s="1553"/>
      <c r="D34" s="899" t="s">
        <v>862</v>
      </c>
      <c r="E34" s="1"/>
      <c r="F34" s="1"/>
      <c r="G34" s="1"/>
      <c r="H34" s="1"/>
      <c r="I34" s="1"/>
      <c r="J34" s="1"/>
      <c r="K34" s="1"/>
      <c r="L34" s="1"/>
      <c r="M34" s="1"/>
      <c r="N34" s="1"/>
      <c r="O34" s="1"/>
      <c r="P34" s="898">
        <v>0.1</v>
      </c>
      <c r="Q34" s="898"/>
      <c r="R34" s="898"/>
      <c r="S34" s="898">
        <v>0.1</v>
      </c>
      <c r="T34" s="898"/>
      <c r="U34" s="898">
        <v>0.2</v>
      </c>
      <c r="V34" s="898">
        <v>0.2</v>
      </c>
      <c r="W34" s="898">
        <v>0.4</v>
      </c>
      <c r="X34" s="27">
        <v>0</v>
      </c>
    </row>
    <row r="35" spans="1:24" ht="14.5" customHeight="1">
      <c r="A35" s="1549"/>
      <c r="B35" s="1550"/>
      <c r="C35" s="1553"/>
      <c r="D35" s="899" t="s">
        <v>863</v>
      </c>
      <c r="E35" s="1"/>
      <c r="F35" s="1"/>
      <c r="G35" s="1"/>
      <c r="H35" s="1"/>
      <c r="I35" s="1"/>
      <c r="J35" s="1"/>
      <c r="K35" s="1"/>
      <c r="L35" s="1"/>
      <c r="M35" s="1"/>
      <c r="N35" s="1"/>
      <c r="O35" s="1"/>
      <c r="P35" s="898">
        <v>0.2</v>
      </c>
      <c r="Q35" s="898"/>
      <c r="R35" s="898"/>
      <c r="S35" s="898">
        <v>0.6</v>
      </c>
      <c r="T35" s="898"/>
      <c r="U35" s="898">
        <v>0.9</v>
      </c>
      <c r="V35" s="898">
        <v>0.7</v>
      </c>
      <c r="W35" s="898">
        <v>1.3</v>
      </c>
      <c r="X35" s="27">
        <v>2.5499999999999998</v>
      </c>
    </row>
    <row r="36" spans="1:24" ht="14.5" customHeight="1">
      <c r="A36" s="1549"/>
      <c r="B36" s="1550"/>
      <c r="C36" s="1553"/>
      <c r="D36" s="899" t="s">
        <v>864</v>
      </c>
      <c r="E36" s="1"/>
      <c r="F36" s="1"/>
      <c r="G36" s="1"/>
      <c r="H36" s="1"/>
      <c r="I36" s="1"/>
      <c r="J36" s="1"/>
      <c r="K36" s="1"/>
      <c r="L36" s="1"/>
      <c r="M36" s="1"/>
      <c r="N36" s="1"/>
      <c r="O36" s="1"/>
      <c r="P36" s="898">
        <v>67.8</v>
      </c>
      <c r="Q36" s="898"/>
      <c r="R36" s="898"/>
      <c r="S36" s="898">
        <v>67.400000000000006</v>
      </c>
      <c r="T36" s="898"/>
      <c r="U36" s="898">
        <v>59.9</v>
      </c>
      <c r="V36" s="898">
        <v>58.9</v>
      </c>
      <c r="W36" s="898">
        <v>66.400000000000006</v>
      </c>
      <c r="X36" s="27">
        <v>64.599999999999994</v>
      </c>
    </row>
    <row r="37" spans="1:24" ht="14.5" customHeight="1">
      <c r="A37" s="1549"/>
      <c r="B37" s="1550"/>
      <c r="C37" s="1553"/>
      <c r="D37" s="899" t="s">
        <v>865</v>
      </c>
      <c r="E37" s="1"/>
      <c r="F37" s="1"/>
      <c r="G37" s="1"/>
      <c r="H37" s="1"/>
      <c r="I37" s="1"/>
      <c r="J37" s="1"/>
      <c r="K37" s="1"/>
      <c r="L37" s="1"/>
      <c r="M37" s="1"/>
      <c r="N37" s="1"/>
      <c r="O37" s="1"/>
      <c r="P37" s="898">
        <v>13.9</v>
      </c>
      <c r="Q37" s="898"/>
      <c r="R37" s="898"/>
      <c r="S37" s="898">
        <v>13.9</v>
      </c>
      <c r="T37" s="898"/>
      <c r="U37" s="898">
        <v>13.4</v>
      </c>
      <c r="V37" s="898">
        <v>14.4</v>
      </c>
      <c r="W37" s="898">
        <v>21.1</v>
      </c>
      <c r="X37" s="27">
        <v>19.5</v>
      </c>
    </row>
    <row r="38" spans="1:24" ht="14.5" customHeight="1">
      <c r="A38" s="1549"/>
      <c r="B38" s="1550"/>
      <c r="C38" s="1553"/>
      <c r="D38" s="900" t="s">
        <v>866</v>
      </c>
      <c r="E38" s="1"/>
      <c r="F38" s="1"/>
      <c r="G38" s="1"/>
      <c r="H38" s="1"/>
      <c r="I38" s="1"/>
      <c r="J38" s="1"/>
      <c r="K38" s="1"/>
      <c r="L38" s="1"/>
      <c r="M38" s="1"/>
      <c r="N38" s="1"/>
      <c r="O38" s="1"/>
      <c r="P38" s="898">
        <v>38.6</v>
      </c>
      <c r="Q38" s="898"/>
      <c r="R38" s="898"/>
      <c r="S38" s="898">
        <v>36.799999999999997</v>
      </c>
      <c r="T38" s="898"/>
      <c r="U38" s="898"/>
      <c r="V38" s="898">
        <v>38.299999999999997</v>
      </c>
      <c r="W38" s="898">
        <v>49.2</v>
      </c>
      <c r="X38" s="27">
        <v>51.2</v>
      </c>
    </row>
    <row r="39" spans="1:24" ht="14.5" customHeight="1">
      <c r="A39" s="1549"/>
      <c r="B39" s="1550"/>
      <c r="C39" s="1553"/>
      <c r="D39" s="899" t="s">
        <v>867</v>
      </c>
      <c r="E39" s="1"/>
      <c r="F39" s="1"/>
      <c r="G39" s="1"/>
      <c r="H39" s="1"/>
      <c r="I39" s="1"/>
      <c r="J39" s="1"/>
      <c r="K39" s="1"/>
      <c r="L39" s="1"/>
      <c r="M39" s="1"/>
      <c r="N39" s="1"/>
      <c r="O39" s="1"/>
      <c r="P39" s="898">
        <v>3</v>
      </c>
      <c r="Q39" s="898"/>
      <c r="R39" s="898"/>
      <c r="S39" s="898">
        <v>3.9</v>
      </c>
      <c r="T39" s="898"/>
      <c r="U39" s="898">
        <v>4.9000000000000004</v>
      </c>
      <c r="V39" s="898">
        <v>4</v>
      </c>
      <c r="W39" s="898">
        <v>5.6</v>
      </c>
      <c r="X39" s="27">
        <v>6.75</v>
      </c>
    </row>
    <row r="40" spans="1:24" ht="14.5" customHeight="1">
      <c r="A40" s="1549"/>
      <c r="B40" s="1550"/>
      <c r="C40" s="1553"/>
      <c r="D40" s="899" t="s">
        <v>868</v>
      </c>
      <c r="E40" s="1"/>
      <c r="F40" s="1"/>
      <c r="G40" s="1"/>
      <c r="H40" s="1"/>
      <c r="I40" s="1"/>
      <c r="J40" s="1"/>
      <c r="K40" s="1"/>
      <c r="L40" s="1"/>
      <c r="M40" s="1"/>
      <c r="N40" s="1"/>
      <c r="O40" s="1"/>
      <c r="P40" s="898">
        <v>7.1</v>
      </c>
      <c r="Q40" s="898"/>
      <c r="R40" s="898"/>
      <c r="S40" s="898">
        <v>8.1999999999999993</v>
      </c>
      <c r="T40" s="898"/>
      <c r="U40" s="898">
        <v>11.1</v>
      </c>
      <c r="V40" s="898">
        <v>7.8</v>
      </c>
      <c r="W40" s="898">
        <v>15.9</v>
      </c>
      <c r="X40" s="27">
        <v>14.5</v>
      </c>
    </row>
    <row r="41" spans="1:24" ht="14.5" customHeight="1">
      <c r="A41" s="1549"/>
      <c r="B41" s="1550"/>
      <c r="C41" s="1553"/>
      <c r="D41" s="901" t="s">
        <v>869</v>
      </c>
      <c r="E41" s="1"/>
      <c r="F41" s="1"/>
      <c r="G41" s="1"/>
      <c r="H41" s="1"/>
      <c r="I41" s="1"/>
      <c r="J41" s="1"/>
      <c r="K41" s="1"/>
      <c r="L41" s="1"/>
      <c r="M41" s="1"/>
      <c r="N41" s="1"/>
      <c r="O41" s="1"/>
      <c r="P41" s="898"/>
      <c r="Q41" s="898"/>
      <c r="R41" s="898"/>
      <c r="S41" s="898">
        <v>6.7</v>
      </c>
      <c r="T41" s="898"/>
      <c r="U41" s="898">
        <v>8</v>
      </c>
      <c r="V41" s="898">
        <v>4.5999999999999996</v>
      </c>
      <c r="W41" s="898">
        <v>13.6</v>
      </c>
      <c r="X41" s="27">
        <v>13.149999999999999</v>
      </c>
    </row>
    <row r="42" spans="1:24" ht="14.5" customHeight="1">
      <c r="A42" s="1549"/>
      <c r="B42" s="1550"/>
      <c r="C42" s="1553"/>
      <c r="D42" s="901" t="s">
        <v>870</v>
      </c>
      <c r="E42" s="1"/>
      <c r="F42" s="1"/>
      <c r="G42" s="1"/>
      <c r="H42" s="1"/>
      <c r="I42" s="1"/>
      <c r="J42" s="1"/>
      <c r="K42" s="1"/>
      <c r="L42" s="1"/>
      <c r="M42" s="1"/>
      <c r="N42" s="1"/>
      <c r="O42" s="1"/>
      <c r="P42" s="898"/>
      <c r="Q42" s="898"/>
      <c r="R42" s="898"/>
      <c r="S42" s="898">
        <v>2.1</v>
      </c>
      <c r="T42" s="898"/>
      <c r="U42" s="898">
        <v>2.4</v>
      </c>
      <c r="V42" s="898">
        <v>1.4</v>
      </c>
      <c r="W42" s="898">
        <v>3.1</v>
      </c>
      <c r="X42" s="27">
        <v>4</v>
      </c>
    </row>
    <row r="43" spans="1:24" ht="14.5" customHeight="1">
      <c r="A43" s="1549"/>
      <c r="B43" s="1550"/>
      <c r="C43" s="1553"/>
      <c r="D43" s="900" t="s">
        <v>871</v>
      </c>
      <c r="E43" s="1"/>
      <c r="F43" s="1"/>
      <c r="G43" s="1"/>
      <c r="H43" s="1"/>
      <c r="I43" s="1"/>
      <c r="J43" s="1"/>
      <c r="K43" s="1"/>
      <c r="L43" s="1"/>
      <c r="M43" s="1"/>
      <c r="N43" s="1"/>
      <c r="O43" s="1"/>
      <c r="P43" s="898">
        <v>6.3</v>
      </c>
      <c r="Q43" s="898"/>
      <c r="R43" s="898"/>
      <c r="S43" s="898">
        <v>4.9000000000000004</v>
      </c>
      <c r="T43" s="898"/>
      <c r="U43" s="898">
        <v>4.9000000000000004</v>
      </c>
      <c r="V43" s="898">
        <v>3.7</v>
      </c>
      <c r="W43" s="898">
        <v>6.1</v>
      </c>
      <c r="X43" s="27">
        <v>8.3000000000000007</v>
      </c>
    </row>
    <row r="44" spans="1:24" ht="14.5" customHeight="1">
      <c r="A44" s="1549"/>
      <c r="B44" s="1550"/>
      <c r="C44" s="1553"/>
      <c r="D44" s="900" t="s">
        <v>872</v>
      </c>
      <c r="E44" s="1"/>
      <c r="F44" s="1"/>
      <c r="G44" s="1"/>
      <c r="H44" s="1"/>
      <c r="I44" s="1"/>
      <c r="J44" s="1"/>
      <c r="K44" s="1"/>
      <c r="L44" s="1"/>
      <c r="M44" s="1"/>
      <c r="N44" s="1"/>
      <c r="O44" s="1"/>
      <c r="P44" s="898">
        <v>2.1</v>
      </c>
      <c r="Q44" s="898"/>
      <c r="R44" s="898"/>
      <c r="S44" s="898">
        <v>2.2999999999999998</v>
      </c>
      <c r="T44" s="898"/>
      <c r="U44" s="898">
        <v>3.6</v>
      </c>
      <c r="V44" s="898">
        <v>3.6</v>
      </c>
      <c r="W44" s="898">
        <v>2.2999999999999998</v>
      </c>
      <c r="X44" s="27">
        <v>3.2</v>
      </c>
    </row>
    <row r="45" spans="1:24" ht="15" customHeight="1" thickBot="1">
      <c r="A45" s="1549"/>
      <c r="B45" s="1550"/>
      <c r="C45" s="1554"/>
      <c r="D45" s="967" t="s">
        <v>873</v>
      </c>
      <c r="E45" s="9"/>
      <c r="F45" s="9"/>
      <c r="G45" s="9"/>
      <c r="H45" s="9"/>
      <c r="I45" s="9"/>
      <c r="J45" s="9"/>
      <c r="K45" s="9"/>
      <c r="L45" s="9"/>
      <c r="M45" s="9"/>
      <c r="N45" s="9"/>
      <c r="O45" s="9"/>
      <c r="P45" s="968">
        <v>3.5</v>
      </c>
      <c r="Q45" s="968"/>
      <c r="R45" s="968"/>
      <c r="S45" s="968">
        <v>4</v>
      </c>
      <c r="T45" s="968"/>
      <c r="U45" s="968">
        <v>1.6</v>
      </c>
      <c r="V45" s="968">
        <v>1.4</v>
      </c>
      <c r="W45" s="898">
        <v>2.9</v>
      </c>
      <c r="X45" s="27">
        <v>2.95</v>
      </c>
    </row>
    <row r="46" spans="1:24" ht="14.5" customHeight="1">
      <c r="A46" s="1549"/>
      <c r="B46" s="1550"/>
      <c r="C46" s="1552" t="s">
        <v>337</v>
      </c>
      <c r="D46" s="2" t="s">
        <v>860</v>
      </c>
      <c r="E46" s="2"/>
      <c r="F46" s="2"/>
      <c r="G46" s="2"/>
      <c r="H46" s="2"/>
      <c r="I46" s="2"/>
      <c r="J46" s="2"/>
      <c r="K46" s="2"/>
      <c r="L46" s="2"/>
      <c r="M46" s="2"/>
      <c r="N46" s="2"/>
      <c r="O46" s="2"/>
      <c r="P46" s="966">
        <v>57.5</v>
      </c>
      <c r="Q46" s="966"/>
      <c r="R46" s="966"/>
      <c r="S46" s="969">
        <v>57.8</v>
      </c>
      <c r="T46" s="966"/>
      <c r="U46" s="969">
        <v>49.2</v>
      </c>
      <c r="V46" s="969">
        <v>48.4</v>
      </c>
      <c r="W46" s="969">
        <v>57.1</v>
      </c>
      <c r="X46" s="1066">
        <v>54.2</v>
      </c>
    </row>
    <row r="47" spans="1:24" ht="14.5" customHeight="1">
      <c r="A47" s="1549"/>
      <c r="B47" s="1550"/>
      <c r="C47" s="1553"/>
      <c r="D47" s="899" t="s">
        <v>861</v>
      </c>
      <c r="E47" s="1"/>
      <c r="F47" s="1"/>
      <c r="G47" s="1"/>
      <c r="H47" s="1"/>
      <c r="I47" s="1"/>
      <c r="J47" s="1"/>
      <c r="K47" s="1"/>
      <c r="L47" s="1"/>
      <c r="M47" s="1"/>
      <c r="N47" s="1"/>
      <c r="O47" s="1"/>
      <c r="P47" s="898">
        <v>4.8</v>
      </c>
      <c r="Q47" s="898"/>
      <c r="R47" s="898"/>
      <c r="S47" s="906">
        <v>5.3</v>
      </c>
      <c r="T47" s="898"/>
      <c r="U47" s="906">
        <v>5.7</v>
      </c>
      <c r="V47" s="906">
        <v>5.6</v>
      </c>
      <c r="W47" s="906">
        <v>8.6999999999999993</v>
      </c>
      <c r="X47" s="27">
        <v>0</v>
      </c>
    </row>
    <row r="48" spans="1:24" ht="14.5" customHeight="1">
      <c r="A48" s="1549"/>
      <c r="B48" s="1550"/>
      <c r="C48" s="1553"/>
      <c r="D48" s="899" t="s">
        <v>862</v>
      </c>
      <c r="E48" s="1"/>
      <c r="F48" s="1"/>
      <c r="G48" s="1"/>
      <c r="H48" s="1"/>
      <c r="I48" s="1"/>
      <c r="J48" s="1"/>
      <c r="K48" s="1"/>
      <c r="L48" s="1"/>
      <c r="M48" s="1"/>
      <c r="N48" s="1"/>
      <c r="O48" s="1"/>
      <c r="P48" s="898">
        <v>0.1</v>
      </c>
      <c r="Q48" s="898"/>
      <c r="R48" s="898"/>
      <c r="S48" s="906">
        <v>0.1</v>
      </c>
      <c r="T48" s="898"/>
      <c r="U48" s="906">
        <v>0.2</v>
      </c>
      <c r="V48" s="906">
        <v>0.2</v>
      </c>
      <c r="W48" s="906">
        <v>0.3</v>
      </c>
      <c r="X48" s="27">
        <v>0</v>
      </c>
    </row>
    <row r="49" spans="1:24" ht="14.5" customHeight="1">
      <c r="A49" s="1549"/>
      <c r="B49" s="1550"/>
      <c r="C49" s="1553"/>
      <c r="D49" s="899" t="s">
        <v>863</v>
      </c>
      <c r="E49" s="1"/>
      <c r="F49" s="1"/>
      <c r="G49" s="1"/>
      <c r="H49" s="1"/>
      <c r="I49" s="1"/>
      <c r="J49" s="1"/>
      <c r="K49" s="1"/>
      <c r="L49" s="1"/>
      <c r="M49" s="1"/>
      <c r="N49" s="1"/>
      <c r="O49" s="1"/>
      <c r="P49" s="898">
        <v>0.3</v>
      </c>
      <c r="Q49" s="898"/>
      <c r="R49" s="898"/>
      <c r="S49" s="906">
        <v>0.8</v>
      </c>
      <c r="T49" s="898"/>
      <c r="U49" s="906">
        <v>1.6</v>
      </c>
      <c r="V49" s="906">
        <v>1</v>
      </c>
      <c r="W49" s="906">
        <v>1.6</v>
      </c>
      <c r="X49" s="27">
        <v>3.5</v>
      </c>
    </row>
    <row r="50" spans="1:24" ht="14.5" customHeight="1">
      <c r="A50" s="1549"/>
      <c r="B50" s="1550"/>
      <c r="C50" s="1553"/>
      <c r="D50" s="899" t="s">
        <v>864</v>
      </c>
      <c r="E50" s="1"/>
      <c r="F50" s="1"/>
      <c r="G50" s="1"/>
      <c r="H50" s="1"/>
      <c r="I50" s="1"/>
      <c r="J50" s="1"/>
      <c r="K50" s="1"/>
      <c r="L50" s="1"/>
      <c r="M50" s="1"/>
      <c r="N50" s="1"/>
      <c r="O50" s="1"/>
      <c r="P50" s="898">
        <v>65.900000000000006</v>
      </c>
      <c r="Q50" s="898"/>
      <c r="R50" s="898"/>
      <c r="S50" s="906">
        <v>67.599999999999994</v>
      </c>
      <c r="T50" s="898"/>
      <c r="U50" s="906">
        <v>60.2</v>
      </c>
      <c r="V50" s="906">
        <v>57.6</v>
      </c>
      <c r="W50" s="906">
        <v>66.2</v>
      </c>
      <c r="X50" s="27">
        <v>63.4</v>
      </c>
    </row>
    <row r="51" spans="1:24" ht="14.5" customHeight="1">
      <c r="A51" s="1549"/>
      <c r="B51" s="1550"/>
      <c r="C51" s="1553"/>
      <c r="D51" s="899" t="s">
        <v>865</v>
      </c>
      <c r="E51" s="1"/>
      <c r="F51" s="1"/>
      <c r="G51" s="1"/>
      <c r="H51" s="1"/>
      <c r="I51" s="1"/>
      <c r="J51" s="1"/>
      <c r="K51" s="1"/>
      <c r="L51" s="1"/>
      <c r="M51" s="1"/>
      <c r="N51" s="1"/>
      <c r="O51" s="1"/>
      <c r="P51" s="898">
        <v>13.1</v>
      </c>
      <c r="Q51" s="898"/>
      <c r="R51" s="898"/>
      <c r="S51" s="906">
        <v>13.6</v>
      </c>
      <c r="T51" s="898"/>
      <c r="U51" s="906">
        <v>13.3</v>
      </c>
      <c r="V51" s="906">
        <v>14.1</v>
      </c>
      <c r="W51" s="906">
        <v>21.5</v>
      </c>
      <c r="X51" s="27">
        <v>19.600000000000001</v>
      </c>
    </row>
    <row r="52" spans="1:24" ht="14.5" customHeight="1">
      <c r="A52" s="1549"/>
      <c r="B52" s="1550"/>
      <c r="C52" s="1553"/>
      <c r="D52" s="900" t="s">
        <v>866</v>
      </c>
      <c r="E52" s="1"/>
      <c r="F52" s="1"/>
      <c r="G52" s="1"/>
      <c r="H52" s="1"/>
      <c r="I52" s="1"/>
      <c r="J52" s="1"/>
      <c r="K52" s="1"/>
      <c r="L52" s="1"/>
      <c r="M52" s="1"/>
      <c r="N52" s="1"/>
      <c r="O52" s="1"/>
      <c r="P52" s="898">
        <v>45.7</v>
      </c>
      <c r="Q52" s="898"/>
      <c r="R52" s="898"/>
      <c r="S52" s="906">
        <v>42.3</v>
      </c>
      <c r="T52" s="898"/>
      <c r="U52" s="907"/>
      <c r="V52" s="906">
        <v>44.3</v>
      </c>
      <c r="W52" s="906">
        <v>56.1</v>
      </c>
      <c r="X52" s="27">
        <v>55.9</v>
      </c>
    </row>
    <row r="53" spans="1:24" ht="14.5" customHeight="1">
      <c r="A53" s="1549"/>
      <c r="B53" s="1550"/>
      <c r="C53" s="1553"/>
      <c r="D53" s="899" t="s">
        <v>867</v>
      </c>
      <c r="E53" s="1"/>
      <c r="F53" s="1"/>
      <c r="G53" s="1"/>
      <c r="H53" s="1"/>
      <c r="I53" s="1"/>
      <c r="J53" s="1"/>
      <c r="K53" s="1"/>
      <c r="L53" s="1"/>
      <c r="M53" s="1"/>
      <c r="N53" s="1"/>
      <c r="O53" s="1"/>
      <c r="P53" s="898">
        <v>5.4</v>
      </c>
      <c r="Q53" s="898"/>
      <c r="R53" s="898"/>
      <c r="S53" s="906">
        <v>6.7</v>
      </c>
      <c r="T53" s="898"/>
      <c r="U53" s="906">
        <v>8.4</v>
      </c>
      <c r="V53" s="906">
        <v>7.1</v>
      </c>
      <c r="W53" s="906">
        <v>9.4</v>
      </c>
      <c r="X53" s="27">
        <v>11</v>
      </c>
    </row>
    <row r="54" spans="1:24" ht="14.5" customHeight="1">
      <c r="A54" s="1549"/>
      <c r="B54" s="1550"/>
      <c r="C54" s="1553"/>
      <c r="D54" s="899" t="s">
        <v>868</v>
      </c>
      <c r="E54" s="1"/>
      <c r="F54" s="1"/>
      <c r="G54" s="1"/>
      <c r="H54" s="1"/>
      <c r="I54" s="1"/>
      <c r="J54" s="1"/>
      <c r="K54" s="1"/>
      <c r="L54" s="1"/>
      <c r="M54" s="1"/>
      <c r="N54" s="1"/>
      <c r="O54" s="1"/>
      <c r="P54" s="898">
        <v>6.1</v>
      </c>
      <c r="Q54" s="898"/>
      <c r="R54" s="898"/>
      <c r="S54" s="906">
        <v>7.8</v>
      </c>
      <c r="T54" s="898"/>
      <c r="U54" s="906">
        <v>9.4</v>
      </c>
      <c r="V54" s="906">
        <v>6.9</v>
      </c>
      <c r="W54" s="906">
        <v>13.5</v>
      </c>
      <c r="X54" s="27">
        <v>13.5</v>
      </c>
    </row>
    <row r="55" spans="1:24" ht="14.5" customHeight="1">
      <c r="A55" s="1549"/>
      <c r="B55" s="1550"/>
      <c r="C55" s="1553"/>
      <c r="D55" s="901" t="s">
        <v>869</v>
      </c>
      <c r="E55" s="1"/>
      <c r="F55" s="1"/>
      <c r="G55" s="1"/>
      <c r="H55" s="1"/>
      <c r="I55" s="1"/>
      <c r="J55" s="1"/>
      <c r="K55" s="1"/>
      <c r="L55" s="1"/>
      <c r="M55" s="1"/>
      <c r="N55" s="1"/>
      <c r="O55" s="1"/>
      <c r="P55" s="898"/>
      <c r="Q55" s="898"/>
      <c r="R55" s="898"/>
      <c r="S55" s="906">
        <v>7</v>
      </c>
      <c r="T55" s="898"/>
      <c r="U55" s="906">
        <v>8.1</v>
      </c>
      <c r="V55" s="906">
        <v>4.3</v>
      </c>
      <c r="W55" s="906">
        <v>14.1</v>
      </c>
      <c r="X55" s="27">
        <v>13.2</v>
      </c>
    </row>
    <row r="56" spans="1:24" ht="14.5" customHeight="1">
      <c r="A56" s="1549"/>
      <c r="B56" s="1550"/>
      <c r="C56" s="1553"/>
      <c r="D56" s="901" t="s">
        <v>870</v>
      </c>
      <c r="E56" s="1"/>
      <c r="F56" s="1"/>
      <c r="G56" s="1"/>
      <c r="H56" s="1"/>
      <c r="I56" s="1"/>
      <c r="J56" s="1"/>
      <c r="K56" s="1"/>
      <c r="L56" s="1"/>
      <c r="M56" s="1"/>
      <c r="N56" s="1"/>
      <c r="O56" s="1"/>
      <c r="P56" s="898"/>
      <c r="Q56" s="898"/>
      <c r="R56" s="898"/>
      <c r="S56" s="906">
        <v>3.1</v>
      </c>
      <c r="T56" s="898"/>
      <c r="U56" s="906">
        <v>3.2</v>
      </c>
      <c r="V56" s="906">
        <v>2</v>
      </c>
      <c r="W56" s="906">
        <v>4.8</v>
      </c>
      <c r="X56" s="27">
        <v>4.9000000000000004</v>
      </c>
    </row>
    <row r="57" spans="1:24" ht="14.5" customHeight="1">
      <c r="A57" s="1549"/>
      <c r="B57" s="1550"/>
      <c r="C57" s="1553"/>
      <c r="D57" s="900" t="s">
        <v>871</v>
      </c>
      <c r="E57" s="1"/>
      <c r="F57" s="1"/>
      <c r="G57" s="1"/>
      <c r="H57" s="1"/>
      <c r="I57" s="1"/>
      <c r="J57" s="1"/>
      <c r="K57" s="1"/>
      <c r="L57" s="1"/>
      <c r="M57" s="1"/>
      <c r="N57" s="1"/>
      <c r="O57" s="1"/>
      <c r="P57" s="898">
        <v>9</v>
      </c>
      <c r="Q57" s="898"/>
      <c r="R57" s="898"/>
      <c r="S57" s="906">
        <v>7.1</v>
      </c>
      <c r="T57" s="898"/>
      <c r="U57" s="906">
        <v>0.5</v>
      </c>
      <c r="V57" s="906">
        <v>5.4</v>
      </c>
      <c r="W57" s="906">
        <v>9.1999999999999993</v>
      </c>
      <c r="X57" s="27">
        <v>11.6</v>
      </c>
    </row>
    <row r="58" spans="1:24" ht="14.5" customHeight="1">
      <c r="A58" s="1549"/>
      <c r="B58" s="1550"/>
      <c r="C58" s="1553"/>
      <c r="D58" s="900" t="s">
        <v>872</v>
      </c>
      <c r="E58" s="1"/>
      <c r="F58" s="1"/>
      <c r="G58" s="1"/>
      <c r="H58" s="1"/>
      <c r="I58" s="1"/>
      <c r="J58" s="1"/>
      <c r="K58" s="1"/>
      <c r="L58" s="1"/>
      <c r="M58" s="1"/>
      <c r="N58" s="1"/>
      <c r="O58" s="1"/>
      <c r="P58" s="898">
        <v>2.2999999999999998</v>
      </c>
      <c r="Q58" s="898"/>
      <c r="R58" s="898"/>
      <c r="S58" s="906">
        <v>2.5</v>
      </c>
      <c r="T58" s="898"/>
      <c r="U58" s="906">
        <v>4</v>
      </c>
      <c r="V58" s="906">
        <v>3.9</v>
      </c>
      <c r="W58" s="906">
        <v>2.2999999999999998</v>
      </c>
      <c r="X58" s="27">
        <v>3.4</v>
      </c>
    </row>
    <row r="59" spans="1:24" ht="15" customHeight="1" thickBot="1">
      <c r="A59" s="1549"/>
      <c r="B59" s="1550"/>
      <c r="C59" s="1554"/>
      <c r="D59" s="967" t="s">
        <v>873</v>
      </c>
      <c r="E59" s="9"/>
      <c r="F59" s="9"/>
      <c r="G59" s="9"/>
      <c r="H59" s="9"/>
      <c r="I59" s="9"/>
      <c r="J59" s="9"/>
      <c r="K59" s="9"/>
      <c r="L59" s="9"/>
      <c r="M59" s="9"/>
      <c r="N59" s="9"/>
      <c r="O59" s="9"/>
      <c r="P59" s="968">
        <v>3.1</v>
      </c>
      <c r="Q59" s="968"/>
      <c r="R59" s="968"/>
      <c r="S59" s="970">
        <v>3.4</v>
      </c>
      <c r="T59" s="968"/>
      <c r="U59" s="970">
        <v>1.2</v>
      </c>
      <c r="V59" s="970">
        <v>1.3</v>
      </c>
      <c r="W59" s="898">
        <v>2.6</v>
      </c>
      <c r="X59" s="1067">
        <v>2.4</v>
      </c>
    </row>
    <row r="60" spans="1:24" ht="14.5" customHeight="1">
      <c r="A60" s="1549"/>
      <c r="B60" s="1550"/>
      <c r="C60" s="1552" t="s">
        <v>338</v>
      </c>
      <c r="D60" s="2" t="s">
        <v>860</v>
      </c>
      <c r="E60" s="2"/>
      <c r="F60" s="2"/>
      <c r="G60" s="2"/>
      <c r="H60" s="2"/>
      <c r="I60" s="2"/>
      <c r="J60" s="2"/>
      <c r="K60" s="2"/>
      <c r="L60" s="2"/>
      <c r="M60" s="2"/>
      <c r="N60" s="2"/>
      <c r="O60" s="2"/>
      <c r="P60" s="966">
        <v>70.7</v>
      </c>
      <c r="Q60" s="966"/>
      <c r="R60" s="966"/>
      <c r="S60" s="966">
        <v>66.900000000000006</v>
      </c>
      <c r="T60" s="966"/>
      <c r="U60" s="966">
        <v>62.2</v>
      </c>
      <c r="V60" s="966">
        <v>63.4</v>
      </c>
      <c r="W60" s="969">
        <v>67.7</v>
      </c>
      <c r="X60" s="1066">
        <v>65.5</v>
      </c>
    </row>
    <row r="61" spans="1:24" ht="14.5" customHeight="1">
      <c r="A61" s="1549"/>
      <c r="B61" s="1550"/>
      <c r="C61" s="1553"/>
      <c r="D61" s="899" t="s">
        <v>861</v>
      </c>
      <c r="E61" s="1"/>
      <c r="F61" s="1"/>
      <c r="G61" s="1"/>
      <c r="H61" s="1"/>
      <c r="I61" s="1"/>
      <c r="J61" s="1"/>
      <c r="K61" s="1"/>
      <c r="L61" s="1"/>
      <c r="M61" s="1"/>
      <c r="N61" s="1"/>
      <c r="O61" s="1"/>
      <c r="P61" s="898">
        <v>5.7</v>
      </c>
      <c r="Q61" s="898"/>
      <c r="R61" s="898"/>
      <c r="S61" s="898">
        <v>5.6</v>
      </c>
      <c r="T61" s="898"/>
      <c r="U61" s="898">
        <v>6.8</v>
      </c>
      <c r="V61" s="898">
        <v>7.7</v>
      </c>
      <c r="W61" s="898">
        <v>10.5</v>
      </c>
      <c r="X61" s="27">
        <v>0</v>
      </c>
    </row>
    <row r="62" spans="1:24" ht="14.5" customHeight="1">
      <c r="A62" s="1549"/>
      <c r="B62" s="1550"/>
      <c r="C62" s="1553"/>
      <c r="D62" s="899" t="s">
        <v>862</v>
      </c>
      <c r="E62" s="1"/>
      <c r="F62" s="1"/>
      <c r="G62" s="1"/>
      <c r="H62" s="1"/>
      <c r="I62" s="1"/>
      <c r="J62" s="1"/>
      <c r="K62" s="1"/>
      <c r="L62" s="1"/>
      <c r="M62" s="1"/>
      <c r="N62" s="1"/>
      <c r="O62" s="1"/>
      <c r="P62" s="898">
        <v>0.1</v>
      </c>
      <c r="Q62" s="898"/>
      <c r="R62" s="898"/>
      <c r="S62" s="898">
        <v>0.2</v>
      </c>
      <c r="T62" s="898"/>
      <c r="U62" s="898">
        <v>0.2</v>
      </c>
      <c r="V62" s="898">
        <v>0.2</v>
      </c>
      <c r="W62" s="898">
        <v>0.5</v>
      </c>
      <c r="X62" s="27">
        <v>0</v>
      </c>
    </row>
    <row r="63" spans="1:24" ht="14.5" customHeight="1">
      <c r="A63" s="1549"/>
      <c r="B63" s="1550"/>
      <c r="C63" s="1553"/>
      <c r="D63" s="899" t="s">
        <v>863</v>
      </c>
      <c r="E63" s="1"/>
      <c r="F63" s="1"/>
      <c r="G63" s="1"/>
      <c r="H63" s="1"/>
      <c r="I63" s="1"/>
      <c r="J63" s="1"/>
      <c r="K63" s="1"/>
      <c r="L63" s="1"/>
      <c r="M63" s="1"/>
      <c r="N63" s="1"/>
      <c r="O63" s="1"/>
      <c r="P63" s="898">
        <v>0.1</v>
      </c>
      <c r="Q63" s="898"/>
      <c r="R63" s="898"/>
      <c r="S63" s="898">
        <v>0.5</v>
      </c>
      <c r="T63" s="898"/>
      <c r="U63" s="898">
        <v>0.3</v>
      </c>
      <c r="V63" s="898">
        <v>0.5</v>
      </c>
      <c r="W63" s="898">
        <v>1</v>
      </c>
      <c r="X63" s="27">
        <v>1.6</v>
      </c>
    </row>
    <row r="64" spans="1:24" ht="14.5" customHeight="1">
      <c r="A64" s="1549"/>
      <c r="B64" s="1550"/>
      <c r="C64" s="1553"/>
      <c r="D64" s="899" t="s">
        <v>864</v>
      </c>
      <c r="E64" s="1"/>
      <c r="F64" s="1"/>
      <c r="G64" s="1"/>
      <c r="H64" s="1"/>
      <c r="I64" s="1"/>
      <c r="J64" s="1"/>
      <c r="K64" s="1"/>
      <c r="L64" s="1"/>
      <c r="M64" s="1"/>
      <c r="N64" s="1"/>
      <c r="O64" s="1"/>
      <c r="P64" s="898">
        <v>69.3</v>
      </c>
      <c r="Q64" s="898"/>
      <c r="R64" s="898"/>
      <c r="S64" s="898">
        <v>67.099999999999994</v>
      </c>
      <c r="T64" s="898"/>
      <c r="U64" s="898">
        <v>59.6</v>
      </c>
      <c r="V64" s="898">
        <v>60</v>
      </c>
      <c r="W64" s="898">
        <v>66.599999999999994</v>
      </c>
      <c r="X64" s="27">
        <v>65.8</v>
      </c>
    </row>
    <row r="65" spans="1:24" ht="14.5" customHeight="1">
      <c r="A65" s="1549"/>
      <c r="B65" s="1550"/>
      <c r="C65" s="1553"/>
      <c r="D65" s="899" t="s">
        <v>865</v>
      </c>
      <c r="E65" s="1"/>
      <c r="F65" s="1"/>
      <c r="G65" s="1"/>
      <c r="H65" s="1"/>
      <c r="I65" s="1"/>
      <c r="J65" s="1"/>
      <c r="K65" s="1"/>
      <c r="L65" s="1"/>
      <c r="M65" s="1"/>
      <c r="N65" s="1"/>
      <c r="O65" s="1"/>
      <c r="P65" s="898">
        <v>14.6</v>
      </c>
      <c r="Q65" s="898"/>
      <c r="R65" s="898"/>
      <c r="S65" s="898">
        <v>14.1</v>
      </c>
      <c r="T65" s="898"/>
      <c r="U65" s="898">
        <v>13.4</v>
      </c>
      <c r="V65" s="898">
        <v>14.7</v>
      </c>
      <c r="W65" s="898">
        <v>20.8</v>
      </c>
      <c r="X65" s="27">
        <v>19.399999999999999</v>
      </c>
    </row>
    <row r="66" spans="1:24" ht="14.5" customHeight="1">
      <c r="A66" s="1549"/>
      <c r="B66" s="1550"/>
      <c r="C66" s="1553"/>
      <c r="D66" s="900" t="s">
        <v>866</v>
      </c>
      <c r="E66" s="1"/>
      <c r="F66" s="1"/>
      <c r="G66" s="1"/>
      <c r="H66" s="1"/>
      <c r="I66" s="1"/>
      <c r="J66" s="1"/>
      <c r="K66" s="1"/>
      <c r="L66" s="1"/>
      <c r="M66" s="1"/>
      <c r="N66" s="1"/>
      <c r="O66" s="1"/>
      <c r="P66" s="898">
        <v>32.5</v>
      </c>
      <c r="Q66" s="898"/>
      <c r="R66" s="898"/>
      <c r="S66" s="898">
        <v>32.200000000000003</v>
      </c>
      <c r="T66" s="898"/>
      <c r="U66" s="898"/>
      <c r="V66" s="898">
        <v>33.200000000000003</v>
      </c>
      <c r="W66" s="898">
        <v>43.6</v>
      </c>
      <c r="X66" s="27">
        <v>46.5</v>
      </c>
    </row>
    <row r="67" spans="1:24" ht="14.5" customHeight="1">
      <c r="A67" s="1549"/>
      <c r="B67" s="1550"/>
      <c r="C67" s="1553"/>
      <c r="D67" s="899" t="s">
        <v>867</v>
      </c>
      <c r="E67" s="1"/>
      <c r="F67" s="1"/>
      <c r="G67" s="1"/>
      <c r="H67" s="1"/>
      <c r="I67" s="1"/>
      <c r="J67" s="1"/>
      <c r="K67" s="1"/>
      <c r="L67" s="1"/>
      <c r="M67" s="1"/>
      <c r="N67" s="1"/>
      <c r="O67" s="1"/>
      <c r="P67" s="898">
        <v>1.1000000000000001</v>
      </c>
      <c r="Q67" s="898"/>
      <c r="R67" s="898"/>
      <c r="S67" s="898">
        <v>1.5</v>
      </c>
      <c r="T67" s="898"/>
      <c r="U67" s="898">
        <v>1.9</v>
      </c>
      <c r="V67" s="898">
        <v>1.4</v>
      </c>
      <c r="W67" s="898">
        <v>2.4</v>
      </c>
      <c r="X67" s="27">
        <v>2.5</v>
      </c>
    </row>
    <row r="68" spans="1:24" ht="14.5" customHeight="1">
      <c r="A68" s="1549"/>
      <c r="B68" s="1550"/>
      <c r="C68" s="1553"/>
      <c r="D68" s="899" t="s">
        <v>868</v>
      </c>
      <c r="E68" s="1"/>
      <c r="F68" s="1"/>
      <c r="G68" s="1"/>
      <c r="H68" s="1"/>
      <c r="I68" s="1"/>
      <c r="J68" s="1"/>
      <c r="K68" s="1"/>
      <c r="L68" s="1"/>
      <c r="M68" s="1"/>
      <c r="N68" s="1"/>
      <c r="O68" s="1"/>
      <c r="P68" s="898">
        <v>7.9</v>
      </c>
      <c r="Q68" s="898"/>
      <c r="R68" s="898"/>
      <c r="S68" s="898">
        <v>8.5</v>
      </c>
      <c r="T68" s="898"/>
      <c r="U68" s="898">
        <v>12.5</v>
      </c>
      <c r="V68" s="898">
        <v>8.6</v>
      </c>
      <c r="W68" s="898">
        <v>17.899999999999999</v>
      </c>
      <c r="X68" s="27">
        <v>15.5</v>
      </c>
    </row>
    <row r="69" spans="1:24" ht="14.5" customHeight="1">
      <c r="A69" s="1549"/>
      <c r="B69" s="1550"/>
      <c r="C69" s="1553"/>
      <c r="D69" s="901" t="s">
        <v>869</v>
      </c>
      <c r="E69" s="1"/>
      <c r="F69" s="1"/>
      <c r="G69" s="1"/>
      <c r="H69" s="1"/>
      <c r="I69" s="1"/>
      <c r="J69" s="1"/>
      <c r="K69" s="1"/>
      <c r="L69" s="1"/>
      <c r="M69" s="1"/>
      <c r="N69" s="1"/>
      <c r="O69" s="1"/>
      <c r="P69" s="898"/>
      <c r="Q69" s="898"/>
      <c r="R69" s="898"/>
      <c r="S69" s="898">
        <v>6.5</v>
      </c>
      <c r="T69" s="898"/>
      <c r="U69" s="898">
        <v>7.9</v>
      </c>
      <c r="V69" s="898">
        <v>4.8</v>
      </c>
      <c r="W69" s="898">
        <v>13.1</v>
      </c>
      <c r="X69" s="27">
        <v>13.1</v>
      </c>
    </row>
    <row r="70" spans="1:24" ht="14.5" customHeight="1">
      <c r="A70" s="1549"/>
      <c r="B70" s="1550"/>
      <c r="C70" s="1553"/>
      <c r="D70" s="901" t="s">
        <v>870</v>
      </c>
      <c r="E70" s="1"/>
      <c r="F70" s="1"/>
      <c r="G70" s="1"/>
      <c r="H70" s="1"/>
      <c r="I70" s="1"/>
      <c r="J70" s="1"/>
      <c r="K70" s="1"/>
      <c r="L70" s="1"/>
      <c r="M70" s="1"/>
      <c r="N70" s="1"/>
      <c r="O70" s="1"/>
      <c r="P70" s="898"/>
      <c r="Q70" s="898"/>
      <c r="R70" s="898"/>
      <c r="S70" s="898">
        <v>1.2</v>
      </c>
      <c r="T70" s="898"/>
      <c r="U70" s="898">
        <v>1.8</v>
      </c>
      <c r="V70" s="898">
        <v>0.8</v>
      </c>
      <c r="W70" s="898">
        <v>1.6</v>
      </c>
      <c r="X70" s="27">
        <v>3.1</v>
      </c>
    </row>
    <row r="71" spans="1:24" ht="14.5" customHeight="1">
      <c r="A71" s="1549"/>
      <c r="B71" s="1550"/>
      <c r="C71" s="1553"/>
      <c r="D71" s="900" t="s">
        <v>871</v>
      </c>
      <c r="E71" s="1"/>
      <c r="F71" s="1"/>
      <c r="G71" s="1"/>
      <c r="H71" s="1"/>
      <c r="I71" s="1"/>
      <c r="J71" s="1"/>
      <c r="K71" s="1"/>
      <c r="L71" s="1"/>
      <c r="M71" s="1"/>
      <c r="N71" s="1"/>
      <c r="O71" s="1"/>
      <c r="P71" s="898">
        <v>3.9</v>
      </c>
      <c r="Q71" s="898"/>
      <c r="R71" s="898"/>
      <c r="S71" s="898">
        <v>3.1</v>
      </c>
      <c r="T71" s="898"/>
      <c r="U71" s="898">
        <v>2.8</v>
      </c>
      <c r="V71" s="898">
        <v>2.2000000000000002</v>
      </c>
      <c r="W71" s="898">
        <v>3.6</v>
      </c>
      <c r="X71" s="27">
        <v>5</v>
      </c>
    </row>
    <row r="72" spans="1:24" ht="14.5" customHeight="1">
      <c r="A72" s="1549"/>
      <c r="B72" s="1550"/>
      <c r="C72" s="1553"/>
      <c r="D72" s="900" t="s">
        <v>872</v>
      </c>
      <c r="E72" s="1"/>
      <c r="F72" s="1"/>
      <c r="G72" s="1"/>
      <c r="H72" s="1"/>
      <c r="I72" s="1"/>
      <c r="J72" s="1"/>
      <c r="K72" s="1"/>
      <c r="L72" s="1"/>
      <c r="M72" s="1"/>
      <c r="N72" s="1"/>
      <c r="O72" s="1"/>
      <c r="P72" s="898">
        <v>2</v>
      </c>
      <c r="Q72" s="898"/>
      <c r="R72" s="898"/>
      <c r="S72" s="898">
        <v>2.1</v>
      </c>
      <c r="T72" s="898"/>
      <c r="U72" s="898">
        <v>3.4</v>
      </c>
      <c r="V72" s="898">
        <v>3.3</v>
      </c>
      <c r="W72" s="898">
        <v>2.2999999999999998</v>
      </c>
      <c r="X72" s="27">
        <v>3</v>
      </c>
    </row>
    <row r="73" spans="1:24" ht="15" customHeight="1" thickBot="1">
      <c r="A73" s="1549"/>
      <c r="B73" s="1550"/>
      <c r="C73" s="1554"/>
      <c r="D73" s="967" t="s">
        <v>873</v>
      </c>
      <c r="E73" s="9"/>
      <c r="F73" s="9"/>
      <c r="G73" s="9"/>
      <c r="H73" s="9"/>
      <c r="I73" s="9"/>
      <c r="J73" s="9"/>
      <c r="K73" s="9"/>
      <c r="L73" s="9"/>
      <c r="M73" s="9"/>
      <c r="N73" s="9"/>
      <c r="O73" s="9"/>
      <c r="P73" s="968">
        <v>3.9</v>
      </c>
      <c r="Q73" s="968"/>
      <c r="R73" s="968"/>
      <c r="S73" s="968">
        <v>4.5</v>
      </c>
      <c r="T73" s="968"/>
      <c r="U73" s="968">
        <v>2</v>
      </c>
      <c r="V73" s="968">
        <v>1.6</v>
      </c>
      <c r="W73" s="968">
        <v>3.1</v>
      </c>
      <c r="X73" s="1067">
        <v>3.5</v>
      </c>
    </row>
    <row r="74" spans="1:24" ht="14.5" customHeight="1">
      <c r="A74" s="1549"/>
      <c r="B74" s="1551"/>
      <c r="C74" s="1555" t="s">
        <v>874</v>
      </c>
      <c r="D74" s="10" t="s">
        <v>860</v>
      </c>
      <c r="E74" s="10"/>
      <c r="F74" s="10"/>
      <c r="G74" s="10"/>
      <c r="H74" s="10"/>
      <c r="I74" s="10"/>
      <c r="J74" s="10"/>
      <c r="K74" s="10"/>
      <c r="L74" s="10"/>
      <c r="M74" s="10"/>
      <c r="N74" s="10"/>
      <c r="O74" s="10"/>
      <c r="P74" s="971">
        <f t="shared" ref="P74:P82" si="3">+P60-P46</f>
        <v>13.200000000000003</v>
      </c>
      <c r="Q74" s="972"/>
      <c r="R74" s="972"/>
      <c r="S74" s="972">
        <f t="shared" ref="S74:S87" si="4">+S60-S46</f>
        <v>9.1000000000000085</v>
      </c>
      <c r="T74" s="972"/>
      <c r="U74" s="972">
        <f t="shared" ref="U74:X87" si="5">+U60-U46</f>
        <v>13</v>
      </c>
      <c r="V74" s="972">
        <f t="shared" si="5"/>
        <v>15</v>
      </c>
      <c r="W74" s="972">
        <f t="shared" si="5"/>
        <v>10.600000000000001</v>
      </c>
      <c r="X74" s="972">
        <f t="shared" si="5"/>
        <v>11.299999999999997</v>
      </c>
    </row>
    <row r="75" spans="1:24" ht="14.5" customHeight="1">
      <c r="A75" s="1549"/>
      <c r="B75" s="1551"/>
      <c r="C75" s="1556"/>
      <c r="D75" s="899" t="s">
        <v>861</v>
      </c>
      <c r="E75" s="1"/>
      <c r="F75" s="1"/>
      <c r="G75" s="1"/>
      <c r="H75" s="1"/>
      <c r="I75" s="1"/>
      <c r="J75" s="1"/>
      <c r="K75" s="1"/>
      <c r="L75" s="1"/>
      <c r="M75" s="1"/>
      <c r="N75" s="1"/>
      <c r="O75" s="1"/>
      <c r="P75" s="902">
        <f t="shared" si="3"/>
        <v>0.90000000000000036</v>
      </c>
      <c r="Q75" s="27"/>
      <c r="R75" s="27"/>
      <c r="S75" s="902">
        <f t="shared" si="4"/>
        <v>0.29999999999999982</v>
      </c>
      <c r="T75" s="27"/>
      <c r="U75" s="902">
        <f t="shared" si="5"/>
        <v>1.0999999999999996</v>
      </c>
      <c r="V75" s="902">
        <f t="shared" si="5"/>
        <v>2.1000000000000005</v>
      </c>
      <c r="W75" s="902">
        <f>+W61-W47</f>
        <v>1.8000000000000007</v>
      </c>
      <c r="X75" s="902">
        <f>+X61-X47</f>
        <v>0</v>
      </c>
    </row>
    <row r="76" spans="1:24" ht="14.5" customHeight="1">
      <c r="A76" s="1549"/>
      <c r="B76" s="1551"/>
      <c r="C76" s="1556"/>
      <c r="D76" s="899" t="s">
        <v>862</v>
      </c>
      <c r="E76" s="1"/>
      <c r="F76" s="1"/>
      <c r="G76" s="1"/>
      <c r="H76" s="1"/>
      <c r="I76" s="1"/>
      <c r="J76" s="1"/>
      <c r="K76" s="1"/>
      <c r="L76" s="1"/>
      <c r="M76" s="1"/>
      <c r="N76" s="1"/>
      <c r="O76" s="1"/>
      <c r="P76" s="902">
        <f t="shared" si="3"/>
        <v>0</v>
      </c>
      <c r="Q76" s="27"/>
      <c r="R76" s="27"/>
      <c r="S76" s="902">
        <f t="shared" si="4"/>
        <v>0.1</v>
      </c>
      <c r="T76" s="27"/>
      <c r="U76" s="902">
        <f t="shared" si="5"/>
        <v>0</v>
      </c>
      <c r="V76" s="902">
        <f t="shared" si="5"/>
        <v>0</v>
      </c>
      <c r="W76" s="902">
        <f t="shared" si="5"/>
        <v>0.2</v>
      </c>
      <c r="X76" s="902">
        <f t="shared" si="5"/>
        <v>0</v>
      </c>
    </row>
    <row r="77" spans="1:24" ht="14.5" customHeight="1">
      <c r="A77" s="1549"/>
      <c r="B77" s="1551"/>
      <c r="C77" s="1556"/>
      <c r="D77" s="899" t="s">
        <v>863</v>
      </c>
      <c r="E77" s="1"/>
      <c r="F77" s="1"/>
      <c r="G77" s="1"/>
      <c r="H77" s="1"/>
      <c r="I77" s="1"/>
      <c r="J77" s="1"/>
      <c r="K77" s="1"/>
      <c r="L77" s="1"/>
      <c r="M77" s="1"/>
      <c r="N77" s="1"/>
      <c r="O77" s="1"/>
      <c r="P77" s="27">
        <f t="shared" si="3"/>
        <v>-0.19999999999999998</v>
      </c>
      <c r="Q77" s="27"/>
      <c r="R77" s="27"/>
      <c r="S77" s="27">
        <f t="shared" si="4"/>
        <v>-0.30000000000000004</v>
      </c>
      <c r="T77" s="27"/>
      <c r="U77" s="27">
        <f t="shared" si="5"/>
        <v>-1.3</v>
      </c>
      <c r="V77" s="27">
        <f t="shared" si="5"/>
        <v>-0.5</v>
      </c>
      <c r="W77" s="902">
        <f t="shared" ref="W77:X77" si="6">+W63-W49</f>
        <v>-0.60000000000000009</v>
      </c>
      <c r="X77" s="902">
        <f t="shared" si="6"/>
        <v>-1.9</v>
      </c>
    </row>
    <row r="78" spans="1:24" ht="14.5" customHeight="1">
      <c r="A78" s="1549"/>
      <c r="B78" s="1551"/>
      <c r="C78" s="1556"/>
      <c r="D78" s="899" t="s">
        <v>864</v>
      </c>
      <c r="E78" s="1"/>
      <c r="F78" s="1"/>
      <c r="G78" s="1"/>
      <c r="H78" s="1"/>
      <c r="I78" s="1"/>
      <c r="J78" s="1"/>
      <c r="K78" s="1"/>
      <c r="L78" s="1"/>
      <c r="M78" s="1"/>
      <c r="N78" s="1"/>
      <c r="O78" s="1"/>
      <c r="P78" s="902">
        <f t="shared" si="3"/>
        <v>3.3999999999999915</v>
      </c>
      <c r="Q78" s="27"/>
      <c r="R78" s="27"/>
      <c r="S78" s="27">
        <f t="shared" si="4"/>
        <v>-0.5</v>
      </c>
      <c r="T78" s="27"/>
      <c r="U78" s="27">
        <f t="shared" si="5"/>
        <v>-0.60000000000000142</v>
      </c>
      <c r="V78" s="902">
        <f t="shared" si="5"/>
        <v>2.3999999999999986</v>
      </c>
      <c r="W78" s="902">
        <f t="shared" ref="W78:X78" si="7">+W64-W50</f>
        <v>0.39999999999999147</v>
      </c>
      <c r="X78" s="902">
        <f t="shared" si="7"/>
        <v>2.3999999999999986</v>
      </c>
    </row>
    <row r="79" spans="1:24" ht="14.5" customHeight="1">
      <c r="A79" s="1549"/>
      <c r="B79" s="1551"/>
      <c r="C79" s="1556"/>
      <c r="D79" s="899" t="s">
        <v>865</v>
      </c>
      <c r="E79" s="1"/>
      <c r="F79" s="1"/>
      <c r="G79" s="1"/>
      <c r="H79" s="1"/>
      <c r="I79" s="1"/>
      <c r="J79" s="1"/>
      <c r="K79" s="1"/>
      <c r="L79" s="1"/>
      <c r="M79" s="1"/>
      <c r="N79" s="1"/>
      <c r="O79" s="1"/>
      <c r="P79" s="902">
        <f t="shared" si="3"/>
        <v>1.5</v>
      </c>
      <c r="Q79" s="27"/>
      <c r="R79" s="27"/>
      <c r="S79" s="902">
        <f t="shared" si="4"/>
        <v>0.5</v>
      </c>
      <c r="T79" s="27"/>
      <c r="U79" s="902">
        <f t="shared" si="5"/>
        <v>9.9999999999999645E-2</v>
      </c>
      <c r="V79" s="902">
        <f t="shared" si="5"/>
        <v>0.59999999999999964</v>
      </c>
      <c r="W79" s="902">
        <f t="shared" ref="W79:X79" si="8">+W65-W51</f>
        <v>-0.69999999999999929</v>
      </c>
      <c r="X79" s="902">
        <f t="shared" si="8"/>
        <v>-0.20000000000000284</v>
      </c>
    </row>
    <row r="80" spans="1:24" ht="14.5" customHeight="1">
      <c r="A80" s="1549"/>
      <c r="B80" s="1551"/>
      <c r="C80" s="1556"/>
      <c r="D80" s="900" t="s">
        <v>866</v>
      </c>
      <c r="E80" s="1"/>
      <c r="F80" s="1"/>
      <c r="G80" s="1"/>
      <c r="H80" s="1"/>
      <c r="I80" s="1"/>
      <c r="J80" s="1"/>
      <c r="K80" s="1"/>
      <c r="L80" s="1"/>
      <c r="M80" s="1"/>
      <c r="N80" s="1"/>
      <c r="O80" s="1"/>
      <c r="P80" s="902">
        <f t="shared" si="3"/>
        <v>-13.200000000000003</v>
      </c>
      <c r="Q80" s="27"/>
      <c r="R80" s="27"/>
      <c r="S80" s="27">
        <f t="shared" si="4"/>
        <v>-10.099999999999994</v>
      </c>
      <c r="T80" s="27"/>
      <c r="U80" s="902">
        <f t="shared" si="5"/>
        <v>0</v>
      </c>
      <c r="V80" s="27">
        <f t="shared" si="5"/>
        <v>-11.099999999999994</v>
      </c>
      <c r="W80" s="902">
        <f t="shared" ref="W80:X80" si="9">+W66-W52</f>
        <v>-12.5</v>
      </c>
      <c r="X80" s="902">
        <f t="shared" si="9"/>
        <v>-9.3999999999999986</v>
      </c>
    </row>
    <row r="81" spans="1:24" ht="14.5" customHeight="1">
      <c r="A81" s="1549"/>
      <c r="B81" s="1551"/>
      <c r="C81" s="1556"/>
      <c r="D81" s="899" t="s">
        <v>867</v>
      </c>
      <c r="E81" s="1"/>
      <c r="F81" s="1"/>
      <c r="G81" s="1"/>
      <c r="H81" s="1"/>
      <c r="I81" s="1"/>
      <c r="J81" s="1"/>
      <c r="K81" s="1"/>
      <c r="L81" s="1"/>
      <c r="M81" s="1"/>
      <c r="N81" s="1"/>
      <c r="O81" s="1"/>
      <c r="P81" s="27">
        <f t="shared" si="3"/>
        <v>-4.3000000000000007</v>
      </c>
      <c r="Q81" s="27"/>
      <c r="R81" s="27"/>
      <c r="S81" s="27">
        <f t="shared" si="4"/>
        <v>-5.2</v>
      </c>
      <c r="T81" s="27"/>
      <c r="U81" s="27">
        <f t="shared" si="5"/>
        <v>-6.5</v>
      </c>
      <c r="V81" s="27">
        <f t="shared" si="5"/>
        <v>-5.6999999999999993</v>
      </c>
      <c r="W81" s="902">
        <f t="shared" ref="W81:X81" si="10">+W67-W53</f>
        <v>-7</v>
      </c>
      <c r="X81" s="902">
        <f t="shared" si="10"/>
        <v>-8.5</v>
      </c>
    </row>
    <row r="82" spans="1:24" ht="14.5" customHeight="1">
      <c r="A82" s="1549"/>
      <c r="B82" s="1551"/>
      <c r="C82" s="1556"/>
      <c r="D82" s="899" t="s">
        <v>868</v>
      </c>
      <c r="E82" s="1"/>
      <c r="F82" s="1"/>
      <c r="G82" s="1"/>
      <c r="H82" s="1"/>
      <c r="I82" s="1"/>
      <c r="J82" s="1"/>
      <c r="K82" s="1"/>
      <c r="L82" s="1"/>
      <c r="M82" s="1"/>
      <c r="N82" s="1"/>
      <c r="O82" s="1"/>
      <c r="P82" s="27">
        <f t="shared" si="3"/>
        <v>1.8000000000000007</v>
      </c>
      <c r="Q82" s="27"/>
      <c r="R82" s="27"/>
      <c r="S82" s="902">
        <f t="shared" si="4"/>
        <v>0.70000000000000018</v>
      </c>
      <c r="T82" s="27"/>
      <c r="U82" s="902">
        <f t="shared" si="5"/>
        <v>3.0999999999999996</v>
      </c>
      <c r="V82" s="902">
        <f t="shared" si="5"/>
        <v>1.6999999999999993</v>
      </c>
      <c r="W82" s="902">
        <f t="shared" ref="W82:X82" si="11">+W68-W54</f>
        <v>4.3999999999999986</v>
      </c>
      <c r="X82" s="902">
        <f t="shared" si="11"/>
        <v>2</v>
      </c>
    </row>
    <row r="83" spans="1:24" ht="14.5" customHeight="1">
      <c r="A83" s="1549"/>
      <c r="B83" s="1551"/>
      <c r="C83" s="1556"/>
      <c r="D83" s="901" t="s">
        <v>869</v>
      </c>
      <c r="E83" s="1"/>
      <c r="F83" s="1"/>
      <c r="G83" s="1"/>
      <c r="H83" s="1"/>
      <c r="I83" s="1"/>
      <c r="J83" s="1"/>
      <c r="K83" s="1"/>
      <c r="L83" s="1"/>
      <c r="M83" s="1"/>
      <c r="N83" s="1"/>
      <c r="O83" s="1"/>
      <c r="P83" s="898"/>
      <c r="Q83" s="27"/>
      <c r="R83" s="27"/>
      <c r="S83" s="902">
        <f t="shared" si="4"/>
        <v>-0.5</v>
      </c>
      <c r="T83" s="27"/>
      <c r="U83" s="27">
        <f t="shared" si="5"/>
        <v>-0.19999999999999929</v>
      </c>
      <c r="V83" s="902">
        <f t="shared" si="5"/>
        <v>0.5</v>
      </c>
      <c r="W83" s="902">
        <f t="shared" ref="W83:X83" si="12">+W69-W55</f>
        <v>-1</v>
      </c>
      <c r="X83" s="902">
        <f t="shared" si="12"/>
        <v>-9.9999999999999645E-2</v>
      </c>
    </row>
    <row r="84" spans="1:24" ht="14.5" customHeight="1">
      <c r="A84" s="1549"/>
      <c r="B84" s="1551"/>
      <c r="C84" s="1556"/>
      <c r="D84" s="901" t="s">
        <v>870</v>
      </c>
      <c r="E84" s="1"/>
      <c r="F84" s="1"/>
      <c r="G84" s="1"/>
      <c r="H84" s="1"/>
      <c r="I84" s="1"/>
      <c r="J84" s="1"/>
      <c r="K84" s="1"/>
      <c r="L84" s="1"/>
      <c r="M84" s="1"/>
      <c r="N84" s="1"/>
      <c r="O84" s="1"/>
      <c r="P84" s="898"/>
      <c r="Q84" s="27"/>
      <c r="R84" s="27"/>
      <c r="S84" s="27">
        <f t="shared" si="4"/>
        <v>-1.9000000000000001</v>
      </c>
      <c r="T84" s="27"/>
      <c r="U84" s="27">
        <f t="shared" si="5"/>
        <v>-1.4000000000000001</v>
      </c>
      <c r="V84" s="27">
        <f t="shared" si="5"/>
        <v>-1.2</v>
      </c>
      <c r="W84" s="902">
        <f t="shared" ref="W84:X84" si="13">+W70-W56</f>
        <v>-3.1999999999999997</v>
      </c>
      <c r="X84" s="902">
        <f t="shared" si="13"/>
        <v>-1.8000000000000003</v>
      </c>
    </row>
    <row r="85" spans="1:24" ht="14.5" customHeight="1">
      <c r="A85" s="1549"/>
      <c r="B85" s="1551"/>
      <c r="C85" s="1556"/>
      <c r="D85" s="900" t="s">
        <v>871</v>
      </c>
      <c r="E85" s="1"/>
      <c r="F85" s="1"/>
      <c r="G85" s="1"/>
      <c r="H85" s="1"/>
      <c r="I85" s="1"/>
      <c r="J85" s="1"/>
      <c r="K85" s="1"/>
      <c r="L85" s="1"/>
      <c r="M85" s="1"/>
      <c r="N85" s="1"/>
      <c r="O85" s="1"/>
      <c r="P85" s="27">
        <f>+P71-P57</f>
        <v>-5.0999999999999996</v>
      </c>
      <c r="Q85" s="27"/>
      <c r="R85" s="27"/>
      <c r="S85" s="27">
        <f t="shared" si="4"/>
        <v>-3.9999999999999996</v>
      </c>
      <c r="T85" s="27"/>
      <c r="U85" s="902">
        <f t="shared" si="5"/>
        <v>2.2999999999999998</v>
      </c>
      <c r="V85" s="27">
        <f t="shared" si="5"/>
        <v>-3.2</v>
      </c>
      <c r="W85" s="902">
        <f t="shared" ref="W85:X85" si="14">+W71-W57</f>
        <v>-5.6</v>
      </c>
      <c r="X85" s="902">
        <f t="shared" si="14"/>
        <v>-6.6</v>
      </c>
    </row>
    <row r="86" spans="1:24" ht="14.5" customHeight="1">
      <c r="A86" s="1549"/>
      <c r="B86" s="1551"/>
      <c r="C86" s="1556"/>
      <c r="D86" s="900" t="s">
        <v>872</v>
      </c>
      <c r="E86" s="1"/>
      <c r="F86" s="1"/>
      <c r="G86" s="1"/>
      <c r="H86" s="1"/>
      <c r="I86" s="1"/>
      <c r="J86" s="1"/>
      <c r="K86" s="1"/>
      <c r="L86" s="1"/>
      <c r="M86" s="1"/>
      <c r="N86" s="1"/>
      <c r="O86" s="1"/>
      <c r="P86" s="902">
        <f>+P72-P58</f>
        <v>-0.29999999999999982</v>
      </c>
      <c r="Q86" s="27"/>
      <c r="R86" s="27"/>
      <c r="S86" s="27">
        <f t="shared" si="4"/>
        <v>-0.39999999999999991</v>
      </c>
      <c r="T86" s="27"/>
      <c r="U86" s="27">
        <f t="shared" si="5"/>
        <v>-0.60000000000000009</v>
      </c>
      <c r="V86" s="27">
        <f t="shared" si="5"/>
        <v>-0.60000000000000009</v>
      </c>
      <c r="W86" s="902">
        <f t="shared" si="5"/>
        <v>0</v>
      </c>
      <c r="X86" s="902">
        <f t="shared" si="5"/>
        <v>-0.39999999999999991</v>
      </c>
    </row>
    <row r="87" spans="1:24" ht="15" customHeight="1">
      <c r="A87" s="1549"/>
      <c r="B87" s="1551"/>
      <c r="C87" s="1556"/>
      <c r="D87" s="900" t="s">
        <v>873</v>
      </c>
      <c r="E87" s="1"/>
      <c r="F87" s="1"/>
      <c r="G87" s="1"/>
      <c r="H87" s="1"/>
      <c r="I87" s="1"/>
      <c r="J87" s="1"/>
      <c r="K87" s="1"/>
      <c r="L87" s="1"/>
      <c r="M87" s="1"/>
      <c r="N87" s="1"/>
      <c r="O87" s="1"/>
      <c r="P87" s="902">
        <f>+P73-P59</f>
        <v>0.79999999999999982</v>
      </c>
      <c r="Q87" s="27"/>
      <c r="R87" s="27"/>
      <c r="S87" s="902">
        <f t="shared" si="4"/>
        <v>1.1000000000000001</v>
      </c>
      <c r="T87" s="27"/>
      <c r="U87" s="902">
        <f t="shared" si="5"/>
        <v>0.8</v>
      </c>
      <c r="V87" s="902">
        <f t="shared" si="5"/>
        <v>0.30000000000000004</v>
      </c>
      <c r="W87" s="902">
        <f t="shared" si="5"/>
        <v>0.5</v>
      </c>
      <c r="X87" s="902">
        <f t="shared" si="5"/>
        <v>1.1000000000000001</v>
      </c>
    </row>
    <row r="88" spans="1:24" ht="15.65" customHeight="1">
      <c r="A88" s="1549"/>
      <c r="B88" s="893" t="s">
        <v>246</v>
      </c>
      <c r="C88" s="894"/>
      <c r="D88" s="894"/>
      <c r="E88" s="905">
        <v>2005</v>
      </c>
      <c r="F88" s="905">
        <v>2006</v>
      </c>
      <c r="G88" s="905">
        <v>2007</v>
      </c>
      <c r="H88" s="905">
        <v>2008</v>
      </c>
      <c r="I88" s="905">
        <v>2009</v>
      </c>
      <c r="J88" s="905">
        <v>2010</v>
      </c>
      <c r="K88" s="905">
        <v>2011</v>
      </c>
      <c r="L88" s="905">
        <v>2012</v>
      </c>
      <c r="M88" s="905">
        <v>2013</v>
      </c>
      <c r="N88" s="905">
        <v>2014</v>
      </c>
      <c r="O88" s="905">
        <v>2015</v>
      </c>
      <c r="P88" s="905">
        <v>2016</v>
      </c>
      <c r="Q88" s="905">
        <v>2017</v>
      </c>
      <c r="R88" s="905">
        <v>2018</v>
      </c>
      <c r="S88" s="905">
        <v>2019</v>
      </c>
      <c r="T88" s="905">
        <v>2020</v>
      </c>
      <c r="U88" s="905">
        <v>2021</v>
      </c>
      <c r="V88" s="905">
        <v>2022</v>
      </c>
      <c r="W88" s="905">
        <v>2023</v>
      </c>
      <c r="X88" s="905">
        <v>2024</v>
      </c>
    </row>
    <row r="89" spans="1:24" ht="15" customHeight="1">
      <c r="A89" s="1549"/>
      <c r="B89" s="1560" t="s">
        <v>875</v>
      </c>
      <c r="C89" s="877" t="s">
        <v>416</v>
      </c>
      <c r="D89" s="451" t="s">
        <v>291</v>
      </c>
      <c r="E89" s="1"/>
      <c r="F89" s="1"/>
      <c r="G89" s="1"/>
      <c r="H89" s="1"/>
      <c r="I89" s="1"/>
      <c r="J89" s="875">
        <v>26578</v>
      </c>
      <c r="K89" s="1"/>
      <c r="L89" s="1"/>
      <c r="M89" s="1"/>
      <c r="N89" s="1"/>
      <c r="O89" s="875">
        <v>28172</v>
      </c>
      <c r="P89" s="868"/>
      <c r="Q89" s="868"/>
      <c r="R89" s="868"/>
      <c r="S89" s="868"/>
      <c r="T89" s="875">
        <v>32433</v>
      </c>
      <c r="U89" s="875">
        <v>41783</v>
      </c>
      <c r="V89" s="875">
        <v>47053</v>
      </c>
      <c r="W89" s="875">
        <v>48830</v>
      </c>
      <c r="X89" s="875">
        <v>49340</v>
      </c>
    </row>
    <row r="90" spans="1:24" ht="14.5" customHeight="1">
      <c r="A90" s="1549"/>
      <c r="B90" s="1560"/>
      <c r="C90" s="1558" t="s">
        <v>876</v>
      </c>
      <c r="D90" s="1" t="s">
        <v>877</v>
      </c>
      <c r="E90" s="1"/>
      <c r="F90" s="1"/>
      <c r="G90" s="1"/>
      <c r="H90" s="1"/>
      <c r="I90" s="1"/>
      <c r="J90" s="876">
        <v>11857</v>
      </c>
      <c r="K90" s="1"/>
      <c r="L90" s="1"/>
      <c r="M90" s="1"/>
      <c r="N90" s="1"/>
      <c r="O90" s="876">
        <v>12726</v>
      </c>
      <c r="P90" s="61"/>
      <c r="Q90" s="61"/>
      <c r="R90" s="61"/>
      <c r="S90" s="61"/>
      <c r="T90" s="876">
        <v>17039</v>
      </c>
      <c r="U90" s="876">
        <v>21721</v>
      </c>
      <c r="V90" s="876">
        <v>24576</v>
      </c>
      <c r="W90" s="876">
        <v>25343</v>
      </c>
      <c r="X90" s="876">
        <v>25639</v>
      </c>
    </row>
    <row r="91" spans="1:24" ht="14.5" customHeight="1">
      <c r="A91" s="1549"/>
      <c r="B91" s="1560"/>
      <c r="C91" s="1558"/>
      <c r="D91" s="1" t="s">
        <v>878</v>
      </c>
      <c r="E91" s="1"/>
      <c r="F91" s="1"/>
      <c r="G91" s="1"/>
      <c r="H91" s="1"/>
      <c r="I91" s="1"/>
      <c r="J91" s="876">
        <v>2114</v>
      </c>
      <c r="K91" s="1"/>
      <c r="L91" s="1"/>
      <c r="M91" s="1"/>
      <c r="N91" s="1"/>
      <c r="O91" s="876">
        <v>2128</v>
      </c>
      <c r="P91" s="61"/>
      <c r="Q91" s="61"/>
      <c r="R91" s="61"/>
      <c r="S91" s="61"/>
      <c r="T91" s="876">
        <v>2055</v>
      </c>
      <c r="U91" s="876">
        <v>2782</v>
      </c>
      <c r="V91" s="876">
        <v>3061</v>
      </c>
      <c r="W91" s="876">
        <v>3313</v>
      </c>
      <c r="X91" s="876">
        <v>3420</v>
      </c>
    </row>
    <row r="92" spans="1:24" ht="14.5" customHeight="1">
      <c r="A92" s="1549"/>
      <c r="B92" s="1560"/>
      <c r="C92" s="1558" t="s">
        <v>879</v>
      </c>
      <c r="D92" s="1" t="s">
        <v>880</v>
      </c>
      <c r="E92" s="1"/>
      <c r="F92" s="1"/>
      <c r="G92" s="1"/>
      <c r="H92" s="1"/>
      <c r="I92" s="1"/>
      <c r="J92" s="876">
        <v>3416</v>
      </c>
      <c r="K92" s="1"/>
      <c r="L92" s="1"/>
      <c r="M92" s="1"/>
      <c r="N92" s="1"/>
      <c r="O92" s="876">
        <v>3964</v>
      </c>
      <c r="P92" s="61"/>
      <c r="Q92" s="61"/>
      <c r="R92" s="61"/>
      <c r="S92" s="61"/>
      <c r="T92" s="876">
        <v>5688</v>
      </c>
      <c r="U92" s="876">
        <v>7531</v>
      </c>
      <c r="V92" s="876">
        <v>8503</v>
      </c>
      <c r="W92" s="876">
        <v>8614</v>
      </c>
      <c r="X92" s="876">
        <v>8703</v>
      </c>
    </row>
    <row r="93" spans="1:24" ht="15" customHeight="1">
      <c r="A93" s="1549"/>
      <c r="B93" s="1560"/>
      <c r="C93" s="1558"/>
      <c r="D93" s="1" t="s">
        <v>881</v>
      </c>
      <c r="E93" s="1"/>
      <c r="F93" s="1"/>
      <c r="G93" s="1"/>
      <c r="H93" s="1"/>
      <c r="I93" s="1"/>
      <c r="J93" s="876">
        <v>2950</v>
      </c>
      <c r="K93" s="1"/>
      <c r="L93" s="1"/>
      <c r="M93" s="1"/>
      <c r="N93" s="1"/>
      <c r="O93" s="876">
        <v>3152</v>
      </c>
      <c r="P93" s="61"/>
      <c r="Q93" s="61"/>
      <c r="R93" s="61"/>
      <c r="S93" s="61"/>
      <c r="T93" s="876">
        <v>2745</v>
      </c>
      <c r="U93" s="876">
        <v>3863</v>
      </c>
      <c r="V93" s="876">
        <v>4241</v>
      </c>
      <c r="W93" s="876">
        <v>4580</v>
      </c>
      <c r="X93" s="876">
        <v>4735</v>
      </c>
    </row>
    <row r="94" spans="1:24" ht="14.5" customHeight="1">
      <c r="A94" s="1549"/>
      <c r="B94" s="1560"/>
      <c r="C94" s="1556" t="s">
        <v>882</v>
      </c>
      <c r="D94" s="1" t="s">
        <v>883</v>
      </c>
      <c r="E94" s="1"/>
      <c r="F94" s="1"/>
      <c r="G94" s="1"/>
      <c r="H94" s="1"/>
      <c r="I94" s="1"/>
      <c r="J94" s="876">
        <f>+J92-J90</f>
        <v>-8441</v>
      </c>
      <c r="K94" s="1"/>
      <c r="L94" s="1"/>
      <c r="M94" s="1"/>
      <c r="N94" s="1"/>
      <c r="O94" s="876">
        <f>+O92-O90</f>
        <v>-8762</v>
      </c>
      <c r="P94" s="61"/>
      <c r="Q94" s="61"/>
      <c r="R94" s="61"/>
      <c r="S94" s="61"/>
      <c r="T94" s="876">
        <f t="shared" ref="T94:X95" si="15">+T92-T90</f>
        <v>-11351</v>
      </c>
      <c r="U94" s="876">
        <f t="shared" si="15"/>
        <v>-14190</v>
      </c>
      <c r="V94" s="876">
        <f t="shared" si="15"/>
        <v>-16073</v>
      </c>
      <c r="W94" s="876">
        <f t="shared" si="15"/>
        <v>-16729</v>
      </c>
      <c r="X94" s="876">
        <f t="shared" si="15"/>
        <v>-16936</v>
      </c>
    </row>
    <row r="95" spans="1:24" ht="14.5" customHeight="1">
      <c r="A95" s="1549"/>
      <c r="B95" s="1560"/>
      <c r="C95" s="1556"/>
      <c r="D95" s="1" t="s">
        <v>884</v>
      </c>
      <c r="E95" s="1"/>
      <c r="F95" s="1"/>
      <c r="G95" s="1"/>
      <c r="H95" s="1"/>
      <c r="I95" s="1"/>
      <c r="J95" s="876">
        <f>+J93-J91</f>
        <v>836</v>
      </c>
      <c r="K95" s="1"/>
      <c r="L95" s="1"/>
      <c r="M95" s="1"/>
      <c r="N95" s="1"/>
      <c r="O95" s="876">
        <f>+O93-O91</f>
        <v>1024</v>
      </c>
      <c r="P95" s="61"/>
      <c r="Q95" s="61"/>
      <c r="R95" s="61"/>
      <c r="S95" s="61"/>
      <c r="T95" s="876">
        <f t="shared" si="15"/>
        <v>690</v>
      </c>
      <c r="U95" s="876">
        <f t="shared" si="15"/>
        <v>1081</v>
      </c>
      <c r="V95" s="876">
        <f t="shared" si="15"/>
        <v>1180</v>
      </c>
      <c r="W95" s="876">
        <f t="shared" si="15"/>
        <v>1267</v>
      </c>
      <c r="X95" s="876">
        <f t="shared" si="15"/>
        <v>1315</v>
      </c>
    </row>
    <row r="96" spans="1:24" ht="14.5" customHeight="1">
      <c r="A96" s="1549"/>
      <c r="B96" s="1560"/>
      <c r="C96" s="1556" t="s">
        <v>289</v>
      </c>
      <c r="D96" s="1" t="s">
        <v>880</v>
      </c>
      <c r="E96" s="1"/>
      <c r="F96" s="1"/>
      <c r="G96" s="1"/>
      <c r="H96" s="1"/>
      <c r="I96" s="1"/>
      <c r="J96" s="61">
        <f>+J92/(J92+J90)*100</f>
        <v>22.366267269036864</v>
      </c>
      <c r="K96" s="1"/>
      <c r="L96" s="1"/>
      <c r="M96" s="1"/>
      <c r="N96" s="1"/>
      <c r="O96" s="61">
        <f>+O92/(O92+O90)*100</f>
        <v>23.750748951467944</v>
      </c>
      <c r="P96" s="61"/>
      <c r="Q96" s="61"/>
      <c r="R96" s="61"/>
      <c r="S96" s="61"/>
      <c r="T96" s="61">
        <f t="shared" ref="T96:X97" si="16">+T92/(T92+T90)*100</f>
        <v>25.02750033000396</v>
      </c>
      <c r="U96" s="61">
        <f t="shared" si="16"/>
        <v>25.745248188158076</v>
      </c>
      <c r="V96" s="61">
        <f t="shared" si="16"/>
        <v>25.705130142991024</v>
      </c>
      <c r="W96" s="61">
        <f t="shared" si="16"/>
        <v>25.367376387784553</v>
      </c>
      <c r="X96" s="61">
        <f t="shared" si="16"/>
        <v>25.342146642595072</v>
      </c>
    </row>
    <row r="97" spans="1:24" ht="14.5" customHeight="1">
      <c r="A97" s="1549"/>
      <c r="B97" s="1560"/>
      <c r="C97" s="1556"/>
      <c r="D97" s="1" t="s">
        <v>881</v>
      </c>
      <c r="E97" s="1"/>
      <c r="F97" s="1"/>
      <c r="G97" s="1"/>
      <c r="H97" s="1"/>
      <c r="I97" s="1"/>
      <c r="J97" s="61">
        <f>+J93/(J93+J91)*100</f>
        <v>58.254344391785153</v>
      </c>
      <c r="K97" s="1"/>
      <c r="L97" s="1"/>
      <c r="M97" s="1"/>
      <c r="N97" s="1"/>
      <c r="O97" s="61">
        <f>+O93/(O93+O91)*100</f>
        <v>59.696969696969695</v>
      </c>
      <c r="P97" s="61"/>
      <c r="Q97" s="61"/>
      <c r="R97" s="61"/>
      <c r="S97" s="61"/>
      <c r="T97" s="61">
        <f t="shared" si="16"/>
        <v>57.1875</v>
      </c>
      <c r="U97" s="61">
        <f t="shared" si="16"/>
        <v>58.133935289691493</v>
      </c>
      <c r="V97" s="61">
        <f t="shared" si="16"/>
        <v>58.07997808819502</v>
      </c>
      <c r="W97" s="61">
        <f t="shared" si="16"/>
        <v>58.026099075129864</v>
      </c>
      <c r="X97" s="61">
        <f t="shared" si="16"/>
        <v>58.06253832004905</v>
      </c>
    </row>
    <row r="98" spans="1:24" ht="15.65" customHeight="1">
      <c r="A98" s="1549"/>
      <c r="B98" s="893" t="s">
        <v>246</v>
      </c>
      <c r="C98" s="894"/>
      <c r="D98" s="894"/>
      <c r="E98" s="905">
        <v>2005</v>
      </c>
      <c r="F98" s="905">
        <v>2006</v>
      </c>
      <c r="G98" s="905">
        <v>2007</v>
      </c>
      <c r="H98" s="905">
        <v>2008</v>
      </c>
      <c r="I98" s="905">
        <v>2009</v>
      </c>
      <c r="J98" s="905">
        <v>2010</v>
      </c>
      <c r="K98" s="905">
        <v>2011</v>
      </c>
      <c r="L98" s="905">
        <v>2012</v>
      </c>
      <c r="M98" s="905">
        <v>2013</v>
      </c>
      <c r="N98" s="905">
        <v>2014</v>
      </c>
      <c r="O98" s="905">
        <v>2015</v>
      </c>
      <c r="P98" s="905">
        <v>2016</v>
      </c>
      <c r="Q98" s="905">
        <v>2017</v>
      </c>
      <c r="R98" s="905">
        <v>2018</v>
      </c>
      <c r="S98" s="905">
        <v>2019</v>
      </c>
      <c r="T98" s="905">
        <v>2020</v>
      </c>
      <c r="U98" s="905">
        <v>2021</v>
      </c>
      <c r="V98" s="905">
        <v>2022</v>
      </c>
      <c r="W98" s="905">
        <v>2023</v>
      </c>
      <c r="X98" s="905">
        <v>2024</v>
      </c>
    </row>
    <row r="99" spans="1:24" ht="15" customHeight="1">
      <c r="A99" s="1549"/>
      <c r="B99" s="1560" t="s">
        <v>885</v>
      </c>
      <c r="C99" s="1559" t="s">
        <v>416</v>
      </c>
      <c r="D99" s="1559"/>
      <c r="E99" s="1"/>
      <c r="F99" s="1"/>
      <c r="G99" s="1"/>
      <c r="H99" s="1"/>
      <c r="I99" s="1"/>
      <c r="J99" s="1"/>
      <c r="K99" s="1"/>
      <c r="L99" s="1"/>
      <c r="M99" s="1"/>
      <c r="N99" s="1"/>
      <c r="O99" s="760">
        <v>20827</v>
      </c>
      <c r="P99" s="881"/>
      <c r="Q99" s="760"/>
      <c r="R99" s="760"/>
      <c r="S99" s="760"/>
      <c r="T99" s="760">
        <v>15486</v>
      </c>
      <c r="U99" s="760">
        <v>16368</v>
      </c>
      <c r="V99" s="760">
        <v>16815</v>
      </c>
      <c r="W99" s="881"/>
      <c r="X99" s="760"/>
    </row>
    <row r="100" spans="1:24" ht="14.5" customHeight="1">
      <c r="A100" s="1549"/>
      <c r="B100" s="1560"/>
      <c r="C100" s="1558" t="s">
        <v>345</v>
      </c>
      <c r="D100" s="1558"/>
      <c r="E100" s="1"/>
      <c r="F100" s="1"/>
      <c r="G100" s="1"/>
      <c r="H100" s="1"/>
      <c r="I100" s="1"/>
      <c r="J100" s="1"/>
      <c r="K100" s="1"/>
      <c r="L100" s="1"/>
      <c r="M100" s="1"/>
      <c r="N100" s="1"/>
      <c r="O100" s="760">
        <f>(20077)</f>
        <v>20077</v>
      </c>
      <c r="P100" s="881"/>
      <c r="Q100" s="760"/>
      <c r="R100" s="760"/>
      <c r="S100" s="760"/>
      <c r="T100" s="760">
        <f>(14805)</f>
        <v>14805</v>
      </c>
      <c r="U100" s="760">
        <f>(15564)</f>
        <v>15564</v>
      </c>
      <c r="V100" s="760">
        <f>(15919)</f>
        <v>15919</v>
      </c>
      <c r="W100" s="881"/>
      <c r="X100" s="760"/>
    </row>
    <row r="101" spans="1:24" ht="14.5" customHeight="1">
      <c r="A101" s="1549"/>
      <c r="B101" s="1560"/>
      <c r="C101" s="1558" t="s">
        <v>346</v>
      </c>
      <c r="D101" s="1558"/>
      <c r="E101" s="1"/>
      <c r="F101" s="1"/>
      <c r="G101" s="1"/>
      <c r="H101" s="1"/>
      <c r="I101" s="1"/>
      <c r="J101" s="1"/>
      <c r="K101" s="1"/>
      <c r="L101" s="1"/>
      <c r="M101" s="1"/>
      <c r="N101" s="1"/>
      <c r="O101" s="760">
        <f>(750)</f>
        <v>750</v>
      </c>
      <c r="P101" s="881"/>
      <c r="Q101" s="760"/>
      <c r="R101" s="760"/>
      <c r="S101" s="760"/>
      <c r="T101" s="760">
        <f>(681)</f>
        <v>681</v>
      </c>
      <c r="U101" s="760">
        <f>(804)</f>
        <v>804</v>
      </c>
      <c r="V101" s="760">
        <f>(896)</f>
        <v>896</v>
      </c>
      <c r="W101" s="881"/>
      <c r="X101" s="760"/>
    </row>
    <row r="102" spans="1:24" ht="15" customHeight="1">
      <c r="A102" s="1549"/>
      <c r="B102" s="1560"/>
      <c r="C102" s="1557" t="s">
        <v>422</v>
      </c>
      <c r="D102" s="1557"/>
      <c r="E102" s="1"/>
      <c r="F102" s="1"/>
      <c r="G102" s="1"/>
      <c r="H102" s="1"/>
      <c r="I102" s="1"/>
      <c r="J102" s="1"/>
      <c r="K102" s="1"/>
      <c r="L102" s="1"/>
      <c r="M102" s="1"/>
      <c r="N102" s="1"/>
      <c r="O102" s="760">
        <f>+O101-O100</f>
        <v>-19327</v>
      </c>
      <c r="P102" s="881"/>
      <c r="Q102" s="760"/>
      <c r="R102" s="760"/>
      <c r="S102" s="760"/>
      <c r="T102" s="760">
        <f>+T101-T100</f>
        <v>-14124</v>
      </c>
      <c r="U102" s="760">
        <f t="shared" ref="U102" si="17">+U101-U100</f>
        <v>-14760</v>
      </c>
      <c r="V102" s="760">
        <f>+V101-V100</f>
        <v>-15023</v>
      </c>
      <c r="W102" s="881"/>
      <c r="X102" s="760"/>
    </row>
    <row r="103" spans="1:24">
      <c r="A103" s="1549"/>
      <c r="B103" s="1560"/>
      <c r="C103" s="1557" t="s">
        <v>289</v>
      </c>
      <c r="D103" s="1557"/>
      <c r="E103" s="1"/>
      <c r="F103" s="1"/>
      <c r="G103" s="1"/>
      <c r="H103" s="1"/>
      <c r="I103" s="1"/>
      <c r="J103" s="1"/>
      <c r="K103" s="1"/>
      <c r="L103" s="1"/>
      <c r="M103" s="1"/>
      <c r="N103" s="1"/>
      <c r="O103" s="882">
        <f>+O101/O99*100</f>
        <v>3.6010947327987708</v>
      </c>
      <c r="P103" s="1"/>
      <c r="Q103" s="27"/>
      <c r="R103" s="27"/>
      <c r="S103" s="27"/>
      <c r="T103" s="882">
        <f t="shared" ref="T103:V103" si="18">+T101/T99*100</f>
        <v>4.3975203409531192</v>
      </c>
      <c r="U103" s="882">
        <f t="shared" si="18"/>
        <v>4.9120234604105573</v>
      </c>
      <c r="V103" s="882">
        <f t="shared" si="18"/>
        <v>5.3285756764793337</v>
      </c>
      <c r="W103" s="1"/>
      <c r="X103" s="27"/>
    </row>
    <row r="108" spans="1:24">
      <c r="R108" s="878"/>
      <c r="S108" s="878"/>
      <c r="T108" s="878"/>
      <c r="U108" s="878"/>
      <c r="V108" s="878"/>
      <c r="W108" s="878"/>
    </row>
    <row r="109" spans="1:24">
      <c r="Q109" s="879"/>
      <c r="R109" s="878"/>
      <c r="S109" s="878"/>
      <c r="T109" s="878"/>
      <c r="U109" s="878"/>
      <c r="V109" s="878"/>
      <c r="W109" s="878"/>
    </row>
    <row r="110" spans="1:24">
      <c r="Q110" s="879"/>
      <c r="R110" s="878"/>
      <c r="S110" s="878"/>
      <c r="T110" s="878"/>
      <c r="U110" s="878"/>
      <c r="V110" s="878"/>
      <c r="W110" s="878"/>
    </row>
    <row r="111" spans="1:24">
      <c r="Q111" s="879"/>
      <c r="R111" s="878"/>
      <c r="S111" s="878"/>
      <c r="T111" s="878"/>
      <c r="U111" s="878"/>
      <c r="V111" s="878"/>
      <c r="W111" s="878"/>
    </row>
    <row r="112" spans="1:24">
      <c r="Q112" s="879"/>
      <c r="R112" s="878"/>
      <c r="S112" s="878"/>
      <c r="T112" s="878"/>
      <c r="U112" s="878"/>
      <c r="V112" s="878"/>
      <c r="W112" s="878"/>
    </row>
    <row r="113" spans="17:23">
      <c r="Q113" s="879"/>
      <c r="R113" s="878"/>
      <c r="S113" s="878"/>
      <c r="T113" s="878"/>
      <c r="U113" s="878"/>
      <c r="V113" s="878"/>
      <c r="W113" s="878"/>
    </row>
    <row r="114" spans="17:23">
      <c r="R114" s="878"/>
      <c r="S114" s="878"/>
      <c r="T114" s="878"/>
      <c r="U114" s="878"/>
      <c r="V114" s="878"/>
      <c r="W114" s="878"/>
    </row>
    <row r="115" spans="17:23">
      <c r="Q115" s="879"/>
      <c r="R115" s="878"/>
      <c r="S115" s="878"/>
      <c r="T115" s="878"/>
      <c r="U115" s="878"/>
      <c r="V115" s="878"/>
      <c r="W115" s="878"/>
    </row>
    <row r="116" spans="17:23">
      <c r="Q116" s="879"/>
      <c r="R116" s="878"/>
      <c r="S116" s="878"/>
      <c r="T116" s="878"/>
      <c r="U116" s="878"/>
      <c r="V116" s="878"/>
      <c r="W116" s="878"/>
    </row>
    <row r="117" spans="17:23">
      <c r="Q117" s="879"/>
      <c r="R117" s="878"/>
      <c r="S117" s="878"/>
      <c r="T117" s="878"/>
      <c r="U117" s="878"/>
      <c r="V117" s="878"/>
      <c r="W117" s="878"/>
    </row>
    <row r="118" spans="17:23">
      <c r="Q118" s="879"/>
    </row>
    <row r="119" spans="17:23">
      <c r="R119" s="878"/>
      <c r="S119" s="878"/>
      <c r="T119" s="878"/>
      <c r="U119" s="878"/>
      <c r="V119" s="878"/>
      <c r="W119" s="878"/>
    </row>
    <row r="120" spans="17:23">
      <c r="Q120" s="879"/>
      <c r="R120" s="878"/>
      <c r="S120" s="878"/>
      <c r="T120" s="878"/>
      <c r="U120" s="878"/>
      <c r="V120" s="878"/>
      <c r="W120" s="878"/>
    </row>
    <row r="121" spans="17:23">
      <c r="Q121" s="879"/>
      <c r="R121" s="878"/>
      <c r="S121" s="878"/>
      <c r="T121" s="878"/>
      <c r="U121" s="878"/>
      <c r="V121" s="878"/>
      <c r="W121" s="878"/>
    </row>
    <row r="122" spans="17:23">
      <c r="Q122" s="879"/>
      <c r="R122" s="878"/>
      <c r="S122" s="878"/>
      <c r="T122" s="878"/>
      <c r="U122" s="878"/>
      <c r="V122" s="878"/>
      <c r="W122" s="878"/>
    </row>
    <row r="123" spans="17:23">
      <c r="Q123" s="879"/>
      <c r="R123" s="878"/>
      <c r="S123" s="878"/>
      <c r="T123" s="878"/>
      <c r="U123" s="878"/>
      <c r="V123" s="878"/>
      <c r="W123" s="878"/>
    </row>
    <row r="124" spans="17:23">
      <c r="Q124" s="879"/>
      <c r="R124" s="878"/>
      <c r="S124" s="878"/>
      <c r="T124" s="878"/>
      <c r="U124" s="878"/>
      <c r="V124" s="878"/>
      <c r="W124" s="878"/>
    </row>
    <row r="125" spans="17:23">
      <c r="R125" s="880"/>
      <c r="S125" s="880"/>
      <c r="T125" s="880"/>
      <c r="U125" s="880"/>
      <c r="V125" s="880"/>
      <c r="W125" s="880"/>
    </row>
  </sheetData>
  <mergeCells count="47">
    <mergeCell ref="C3:X3"/>
    <mergeCell ref="C7:X7"/>
    <mergeCell ref="C12:X12"/>
    <mergeCell ref="C16:X16"/>
    <mergeCell ref="B99:B103"/>
    <mergeCell ref="C17:D17"/>
    <mergeCell ref="C18:D18"/>
    <mergeCell ref="C19:D19"/>
    <mergeCell ref="C24:D24"/>
    <mergeCell ref="C23:D23"/>
    <mergeCell ref="B26:B30"/>
    <mergeCell ref="C26:D26"/>
    <mergeCell ref="C27:D27"/>
    <mergeCell ref="C28:D28"/>
    <mergeCell ref="C30:D30"/>
    <mergeCell ref="A3:A30"/>
    <mergeCell ref="B3:B10"/>
    <mergeCell ref="C6:D6"/>
    <mergeCell ref="C8:D8"/>
    <mergeCell ref="C9:D9"/>
    <mergeCell ref="C10:D10"/>
    <mergeCell ref="B12:B19"/>
    <mergeCell ref="C15:D15"/>
    <mergeCell ref="B21:B24"/>
    <mergeCell ref="C21:D21"/>
    <mergeCell ref="C22:D22"/>
    <mergeCell ref="C4:D4"/>
    <mergeCell ref="C5:D5"/>
    <mergeCell ref="C13:D13"/>
    <mergeCell ref="C14:D14"/>
    <mergeCell ref="C29:D29"/>
    <mergeCell ref="A31:A103"/>
    <mergeCell ref="B32:B87"/>
    <mergeCell ref="C32:C45"/>
    <mergeCell ref="C46:C59"/>
    <mergeCell ref="C60:C73"/>
    <mergeCell ref="C74:C87"/>
    <mergeCell ref="C103:D103"/>
    <mergeCell ref="C90:C91"/>
    <mergeCell ref="C92:C93"/>
    <mergeCell ref="C94:C95"/>
    <mergeCell ref="C99:D99"/>
    <mergeCell ref="C100:D100"/>
    <mergeCell ref="C101:D101"/>
    <mergeCell ref="C102:D102"/>
    <mergeCell ref="C96:C97"/>
    <mergeCell ref="B89:B97"/>
  </mergeCells>
  <phoneticPr fontId="38" type="noConversion"/>
  <conditionalFormatting sqref="E30:I30">
    <cfRule type="cellIs" dxfId="42" priority="80" operator="lessThan">
      <formula>0</formula>
    </cfRule>
  </conditionalFormatting>
  <conditionalFormatting sqref="J29:J30 O29:O30 T29:V30">
    <cfRule type="cellIs" dxfId="41" priority="32" operator="lessThan">
      <formula>50</formula>
    </cfRule>
    <cfRule type="cellIs" dxfId="40" priority="33" operator="greaterThan">
      <formula>50</formula>
    </cfRule>
  </conditionalFormatting>
  <conditionalFormatting sqref="J94">
    <cfRule type="cellIs" dxfId="39" priority="22" operator="lessThan">
      <formula>0</formula>
    </cfRule>
  </conditionalFormatting>
  <conditionalFormatting sqref="J94:J97">
    <cfRule type="cellIs" dxfId="38" priority="18" operator="greaterThan">
      <formula>0</formula>
    </cfRule>
  </conditionalFormatting>
  <conditionalFormatting sqref="J95:J97">
    <cfRule type="cellIs" dxfId="37" priority="19" operator="greaterThan">
      <formula>0</formula>
    </cfRule>
    <cfRule type="cellIs" dxfId="36" priority="20" operator="lessThan">
      <formula>0</formula>
    </cfRule>
  </conditionalFormatting>
  <conditionalFormatting sqref="O95:O97">
    <cfRule type="cellIs" dxfId="35" priority="28" operator="greaterThan">
      <formula>0</formula>
    </cfRule>
    <cfRule type="cellIs" dxfId="34" priority="29" operator="greaterThan">
      <formula>0</formula>
    </cfRule>
  </conditionalFormatting>
  <conditionalFormatting sqref="O102">
    <cfRule type="cellIs" dxfId="33" priority="47" operator="lessThan">
      <formula>0</formula>
    </cfRule>
    <cfRule type="cellIs" dxfId="32" priority="48" operator="greaterThan">
      <formula>0</formula>
    </cfRule>
  </conditionalFormatting>
  <conditionalFormatting sqref="O103 T103:V103">
    <cfRule type="cellIs" dxfId="31" priority="14" operator="lessThan">
      <formula>50</formula>
    </cfRule>
    <cfRule type="cellIs" dxfId="30" priority="15" operator="greaterThan">
      <formula>50</formula>
    </cfRule>
  </conditionalFormatting>
  <conditionalFormatting sqref="O94:X94">
    <cfRule type="cellIs" dxfId="29" priority="66" operator="greaterThan">
      <formula>0</formula>
    </cfRule>
    <cfRule type="cellIs" dxfId="28" priority="67" operator="lessThan">
      <formula>0</formula>
    </cfRule>
  </conditionalFormatting>
  <conditionalFormatting sqref="O95:X97">
    <cfRule type="cellIs" dxfId="27" priority="42" operator="lessThan">
      <formula>0</formula>
    </cfRule>
  </conditionalFormatting>
  <conditionalFormatting sqref="P6:Q6 S6">
    <cfRule type="cellIs" dxfId="26" priority="77" operator="greaterThan">
      <formula>0</formula>
    </cfRule>
    <cfRule type="cellIs" dxfId="25" priority="78" operator="equal">
      <formula>0</formula>
    </cfRule>
    <cfRule type="cellIs" dxfId="24" priority="79" operator="lessThan">
      <formula>0</formula>
    </cfRule>
  </conditionalFormatting>
  <conditionalFormatting sqref="P15:Q15 S15">
    <cfRule type="cellIs" dxfId="23" priority="71" operator="greaterThan">
      <formula>0</formula>
    </cfRule>
    <cfRule type="cellIs" dxfId="22" priority="72" operator="equal">
      <formula>0</formula>
    </cfRule>
    <cfRule type="cellIs" dxfId="21" priority="73" operator="lessThan">
      <formula>0</formula>
    </cfRule>
  </conditionalFormatting>
  <conditionalFormatting sqref="P95:S97">
    <cfRule type="cellIs" dxfId="20" priority="44" operator="greaterThan">
      <formula>0</formula>
    </cfRule>
  </conditionalFormatting>
  <conditionalFormatting sqref="P24:V24">
    <cfRule type="cellIs" dxfId="19" priority="60" operator="lessThan">
      <formula>0</formula>
    </cfRule>
    <cfRule type="cellIs" dxfId="18" priority="61" operator="greaterThan">
      <formula>0</formula>
    </cfRule>
  </conditionalFormatting>
  <conditionalFormatting sqref="P75:W75 X75:X87 Q76:W87 P77 P79 P81 P85 P87">
    <cfRule type="cellIs" dxfId="17" priority="12" operator="lessThan">
      <formula>0</formula>
    </cfRule>
  </conditionalFormatting>
  <conditionalFormatting sqref="P74:X74 P76 P78 P80 P82 P86">
    <cfRule type="cellIs" dxfId="16" priority="13" operator="greaterThan">
      <formula>0</formula>
    </cfRule>
  </conditionalFormatting>
  <conditionalFormatting sqref="Q102:V102 Q103:S103">
    <cfRule type="cellIs" dxfId="15" priority="49" operator="lessThan">
      <formula>0</formula>
    </cfRule>
    <cfRule type="cellIs" dxfId="14" priority="50" operator="greaterThan">
      <formula>0</formula>
    </cfRule>
  </conditionalFormatting>
  <conditionalFormatting sqref="T95:X97">
    <cfRule type="cellIs" dxfId="13" priority="40" operator="greaterThan">
      <formula>0</formula>
    </cfRule>
    <cfRule type="cellIs" dxfId="12" priority="41" operator="greaterThan">
      <formula>0</formula>
    </cfRule>
  </conditionalFormatting>
  <conditionalFormatting sqref="U19:W19">
    <cfRule type="cellIs" dxfId="11" priority="68" operator="greaterThan">
      <formula>0</formula>
    </cfRule>
    <cfRule type="cellIs" dxfId="10" priority="69" operator="equal">
      <formula>0</formula>
    </cfRule>
    <cfRule type="cellIs" dxfId="9" priority="70" operator="lessThan">
      <formula>0</formula>
    </cfRule>
  </conditionalFormatting>
  <conditionalFormatting sqref="U10:X10">
    <cfRule type="cellIs" dxfId="8" priority="74" operator="greaterThan">
      <formula>0</formula>
    </cfRule>
    <cfRule type="cellIs" dxfId="7" priority="75" operator="equal">
      <formula>0</formula>
    </cfRule>
    <cfRule type="cellIs" dxfId="6" priority="76" operator="lessThan">
      <formula>0</formula>
    </cfRule>
  </conditionalFormatting>
  <conditionalFormatting sqref="X29:X30">
    <cfRule type="cellIs" dxfId="5" priority="5" operator="lessThan">
      <formula>50</formula>
    </cfRule>
    <cfRule type="cellIs" dxfId="4" priority="6" operator="greaterThan">
      <formula>50</formula>
    </cfRule>
  </conditionalFormatting>
  <conditionalFormatting sqref="X102:X103">
    <cfRule type="cellIs" dxfId="3" priority="3" operator="lessThan">
      <formula>0</formula>
    </cfRule>
    <cfRule type="cellIs" dxfId="2" priority="4" operator="greaterThan">
      <formula>0</formula>
    </cfRule>
  </conditionalFormatting>
  <hyperlinks>
    <hyperlink ref="X1" location="INDICE!A69" display="SIGEM" xr:uid="{F7CC960A-E16B-49F0-A3EB-6F07DC614D18}"/>
    <hyperlink ref="B3:B10" location="INDICE!A67" display="9.1 Percepción de seguridad en el barrio por el día " xr:uid="{E83C0595-0EBB-4A00-A6FA-46B97AE037F6}"/>
    <hyperlink ref="B12:B19" location="INDICE!A67" display="9.2 Percepción de seguridad en el barrio por la noche" xr:uid="{0C450BB6-C025-4FD8-A57F-C4DF88562BC1}"/>
    <hyperlink ref="B21:B24" location="INDICE!A67" display="9.3 Porcentaje de personas que han sido víctimas de un robo, atraco o agresión en la ciudad de Madrid en el último año" xr:uid="{63E96BC5-48BE-43B1-BF6E-B6D3F237116A}"/>
    <hyperlink ref="B26:B30" location="INDICE!A67" display="9.4 Personas adultas que han sido condenadas por sentencia firme" xr:uid="{0DF66DC2-DAFF-4903-B1C7-DF68A3F9846A}"/>
    <hyperlink ref="B89:B95" location="INDICE!A67" display="9.6 Personas implicadas en accidentes de tráfico de la ciudad de Madrid" xr:uid="{15960F6C-7C57-449F-9D9F-40FD230B0D82}"/>
    <hyperlink ref="B99:B102" location="INDICE!A67" display="9.7 Personas que tienen la tarjeta de identificación de conductor/a y pueden ejercer la profesión de conductor/a de vehículo de taxi" xr:uid="{87DC7DA0-55DF-4EFA-B110-EB2B024FDA2C}"/>
    <hyperlink ref="B32:B87" location="INDICE!A67" display="9.5 Medios habituales de transporte utilizados para desplazamientos cotidianos" xr:uid="{D1F1C93D-16F4-4C80-AF49-AA419C425FE9}"/>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84FDE-69F7-468B-BC57-1A4027A49735}">
  <sheetPr>
    <tabColor rgb="FFC1FFF3"/>
  </sheetPr>
  <dimension ref="A1:W73"/>
  <sheetViews>
    <sheetView showGridLines="0" topLeftCell="A101" zoomScale="70" zoomScaleNormal="70" workbookViewId="0">
      <selection activeCell="T80" sqref="T80"/>
    </sheetView>
  </sheetViews>
  <sheetFormatPr baseColWidth="10" defaultColWidth="11.453125" defaultRowHeight="14.5"/>
  <cols>
    <col min="5" max="5" width="10.81640625" customWidth="1"/>
    <col min="15" max="15" width="10.81640625" customWidth="1"/>
  </cols>
  <sheetData>
    <row r="1" spans="1:17" ht="32" thickTop="1" thickBot="1">
      <c r="A1" s="597" t="s">
        <v>847</v>
      </c>
      <c r="B1" s="598"/>
      <c r="C1" s="598"/>
      <c r="D1" s="598"/>
      <c r="E1" s="598"/>
      <c r="F1" s="598"/>
      <c r="G1" s="598"/>
      <c r="H1" s="598"/>
      <c r="I1" s="598"/>
      <c r="J1" s="598"/>
      <c r="K1" s="598"/>
      <c r="L1" s="598"/>
      <c r="M1" s="598"/>
      <c r="N1" s="598"/>
      <c r="O1" s="598"/>
      <c r="P1" s="867"/>
      <c r="Q1" s="136" t="s">
        <v>245</v>
      </c>
    </row>
    <row r="58" spans="21:23" ht="15" thickBot="1"/>
    <row r="59" spans="21:23">
      <c r="U59" s="1079">
        <v>2024</v>
      </c>
      <c r="V59" s="1080" t="s">
        <v>337</v>
      </c>
      <c r="W59" s="1081" t="s">
        <v>338</v>
      </c>
    </row>
    <row r="60" spans="21:23">
      <c r="U60" s="1082" t="s">
        <v>860</v>
      </c>
      <c r="V60" s="1089">
        <v>54.2</v>
      </c>
      <c r="W60" s="1090">
        <v>65.5</v>
      </c>
    </row>
    <row r="61" spans="21:23">
      <c r="U61" s="1082" t="s">
        <v>861</v>
      </c>
      <c r="V61" s="1089">
        <v>0</v>
      </c>
      <c r="W61" s="1090">
        <v>0</v>
      </c>
    </row>
    <row r="62" spans="21:23">
      <c r="U62" s="1082" t="s">
        <v>862</v>
      </c>
      <c r="V62" s="1089">
        <v>0</v>
      </c>
      <c r="W62" s="1090">
        <v>0</v>
      </c>
    </row>
    <row r="63" spans="21:23">
      <c r="U63" s="1082" t="s">
        <v>863</v>
      </c>
      <c r="V63" s="1089">
        <v>3.5</v>
      </c>
      <c r="W63" s="1090">
        <v>1.6</v>
      </c>
    </row>
    <row r="64" spans="21:23">
      <c r="U64" s="1082" t="s">
        <v>864</v>
      </c>
      <c r="V64" s="1089">
        <v>63.4</v>
      </c>
      <c r="W64" s="1090">
        <v>65.8</v>
      </c>
    </row>
    <row r="65" spans="21:23">
      <c r="U65" s="1082" t="s">
        <v>865</v>
      </c>
      <c r="V65" s="1089">
        <v>19.600000000000001</v>
      </c>
      <c r="W65" s="1090">
        <v>19.399999999999999</v>
      </c>
    </row>
    <row r="66" spans="21:23">
      <c r="U66" s="1082" t="s">
        <v>866</v>
      </c>
      <c r="V66" s="1089">
        <v>55.9</v>
      </c>
      <c r="W66" s="1090">
        <v>46.5</v>
      </c>
    </row>
    <row r="67" spans="21:23">
      <c r="U67" s="1082" t="s">
        <v>867</v>
      </c>
      <c r="V67" s="1089">
        <v>11</v>
      </c>
      <c r="W67" s="1090">
        <v>2.5</v>
      </c>
    </row>
    <row r="68" spans="21:23">
      <c r="U68" s="1082" t="s">
        <v>868</v>
      </c>
      <c r="V68" s="1089">
        <v>13.5</v>
      </c>
      <c r="W68" s="1090">
        <v>15.5</v>
      </c>
    </row>
    <row r="69" spans="21:23">
      <c r="U69" s="1082" t="s">
        <v>869</v>
      </c>
      <c r="V69" s="1089">
        <v>13.2</v>
      </c>
      <c r="W69" s="1090">
        <v>13.1</v>
      </c>
    </row>
    <row r="70" spans="21:23">
      <c r="U70" s="1082" t="s">
        <v>870</v>
      </c>
      <c r="V70" s="1089">
        <v>4.9000000000000004</v>
      </c>
      <c r="W70" s="1090">
        <v>3.1</v>
      </c>
    </row>
    <row r="71" spans="21:23">
      <c r="U71" s="1082" t="s">
        <v>871</v>
      </c>
      <c r="V71" s="1089">
        <v>11.6</v>
      </c>
      <c r="W71" s="1090">
        <v>5</v>
      </c>
    </row>
    <row r="72" spans="21:23">
      <c r="U72" s="1082" t="s">
        <v>872</v>
      </c>
      <c r="V72" s="1089">
        <v>3.4</v>
      </c>
      <c r="W72" s="1090">
        <v>3</v>
      </c>
    </row>
    <row r="73" spans="21:23" ht="15" thickBot="1">
      <c r="U73" s="1083" t="s">
        <v>873</v>
      </c>
      <c r="V73" s="1091">
        <v>2.4</v>
      </c>
      <c r="W73" s="1092">
        <v>3.5</v>
      </c>
    </row>
  </sheetData>
  <hyperlinks>
    <hyperlink ref="Q1" location="INDICE!A69" display="SIGEM" xr:uid="{A53DC454-4D43-4BF1-9DF0-08F14E81BDE5}"/>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E3C3-92FE-43A7-980D-EB317F137F65}">
  <sheetPr>
    <tabColor rgb="FFC1FFF3"/>
  </sheetPr>
  <dimension ref="A1:D60"/>
  <sheetViews>
    <sheetView showGridLines="0" topLeftCell="A33" zoomScale="90" zoomScaleNormal="90" workbookViewId="0">
      <selection activeCell="D59" sqref="D59"/>
    </sheetView>
  </sheetViews>
  <sheetFormatPr baseColWidth="10" defaultColWidth="11.453125" defaultRowHeight="14.5"/>
  <cols>
    <col min="1" max="1" width="22.26953125" style="11" customWidth="1"/>
    <col min="2" max="2" width="136.1796875" style="11" customWidth="1"/>
    <col min="3" max="3" width="5.7265625" style="11" customWidth="1"/>
    <col min="4" max="16384" width="11.453125" style="11"/>
  </cols>
  <sheetData>
    <row r="1" spans="1:4" ht="32" thickTop="1" thickBot="1">
      <c r="A1" s="248" t="s">
        <v>847</v>
      </c>
      <c r="B1" s="249"/>
      <c r="D1" s="136" t="s">
        <v>245</v>
      </c>
    </row>
    <row r="2" spans="1:4" ht="15.75" customHeight="1">
      <c r="A2" s="1159" t="s">
        <v>848</v>
      </c>
      <c r="B2" s="1160"/>
    </row>
    <row r="3" spans="1:4" ht="35.25" customHeight="1">
      <c r="A3" s="30" t="s">
        <v>263</v>
      </c>
      <c r="B3" s="37" t="s">
        <v>886</v>
      </c>
    </row>
    <row r="4" spans="1:4" ht="58">
      <c r="A4" s="30" t="s">
        <v>265</v>
      </c>
      <c r="B4" s="37" t="s">
        <v>887</v>
      </c>
    </row>
    <row r="5" spans="1:4">
      <c r="A5" s="30" t="s">
        <v>324</v>
      </c>
      <c r="B5" s="37" t="s">
        <v>279</v>
      </c>
    </row>
    <row r="6" spans="1:4" ht="29">
      <c r="A6" s="30" t="s">
        <v>269</v>
      </c>
      <c r="B6" s="140" t="s">
        <v>888</v>
      </c>
    </row>
    <row r="7" spans="1:4" ht="63.75" customHeight="1">
      <c r="A7" s="30" t="s">
        <v>282</v>
      </c>
      <c r="B7" s="37" t="s">
        <v>889</v>
      </c>
    </row>
    <row r="8" spans="1:4">
      <c r="A8" s="30" t="s">
        <v>271</v>
      </c>
      <c r="B8" s="37" t="s">
        <v>890</v>
      </c>
    </row>
    <row r="9" spans="1:4">
      <c r="A9" s="30" t="s">
        <v>273</v>
      </c>
      <c r="B9" s="37" t="s">
        <v>827</v>
      </c>
    </row>
    <row r="10" spans="1:4" ht="15.75" customHeight="1">
      <c r="A10" s="1161" t="s">
        <v>856</v>
      </c>
      <c r="B10" s="1162"/>
    </row>
    <row r="11" spans="1:4" ht="33.75" customHeight="1">
      <c r="A11" s="30" t="s">
        <v>263</v>
      </c>
      <c r="B11" s="37" t="s">
        <v>891</v>
      </c>
    </row>
    <row r="12" spans="1:4" ht="58">
      <c r="A12" s="30" t="s">
        <v>265</v>
      </c>
      <c r="B12" s="37" t="s">
        <v>892</v>
      </c>
    </row>
    <row r="13" spans="1:4">
      <c r="A13" s="30" t="s">
        <v>324</v>
      </c>
      <c r="B13" s="37" t="s">
        <v>279</v>
      </c>
    </row>
    <row r="14" spans="1:4" ht="29">
      <c r="A14" s="30" t="s">
        <v>269</v>
      </c>
      <c r="B14" s="140" t="s">
        <v>888</v>
      </c>
    </row>
    <row r="15" spans="1:4" ht="61.5" customHeight="1">
      <c r="A15" s="30" t="s">
        <v>282</v>
      </c>
      <c r="B15" s="37" t="s">
        <v>893</v>
      </c>
    </row>
    <row r="16" spans="1:4">
      <c r="A16" s="30" t="s">
        <v>271</v>
      </c>
      <c r="B16" s="37" t="s">
        <v>890</v>
      </c>
    </row>
    <row r="17" spans="1:2">
      <c r="A17" s="30" t="s">
        <v>273</v>
      </c>
      <c r="B17" s="37" t="s">
        <v>827</v>
      </c>
    </row>
    <row r="18" spans="1:2" ht="15.75" customHeight="1">
      <c r="A18" s="1161" t="s">
        <v>857</v>
      </c>
      <c r="B18" s="1162"/>
    </row>
    <row r="19" spans="1:2" ht="29">
      <c r="A19" s="30" t="s">
        <v>263</v>
      </c>
      <c r="B19" s="37" t="s">
        <v>894</v>
      </c>
    </row>
    <row r="20" spans="1:2" ht="43.5">
      <c r="A20" s="30" t="s">
        <v>265</v>
      </c>
      <c r="B20" s="251" t="s">
        <v>895</v>
      </c>
    </row>
    <row r="21" spans="1:2">
      <c r="A21" s="30" t="s">
        <v>324</v>
      </c>
      <c r="B21" s="37" t="s">
        <v>279</v>
      </c>
    </row>
    <row r="22" spans="1:2" ht="29">
      <c r="A22" s="30" t="s">
        <v>269</v>
      </c>
      <c r="B22" s="140" t="s">
        <v>888</v>
      </c>
    </row>
    <row r="23" spans="1:2">
      <c r="A23" s="30" t="s">
        <v>282</v>
      </c>
      <c r="B23" s="37" t="s">
        <v>896</v>
      </c>
    </row>
    <row r="24" spans="1:2" ht="19.5" customHeight="1">
      <c r="A24" s="30" t="s">
        <v>271</v>
      </c>
      <c r="B24" s="37" t="s">
        <v>890</v>
      </c>
    </row>
    <row r="25" spans="1:2">
      <c r="A25" s="30" t="s">
        <v>273</v>
      </c>
      <c r="B25" s="37" t="s">
        <v>827</v>
      </c>
    </row>
    <row r="26" spans="1:2" ht="15.75" customHeight="1">
      <c r="A26" s="1161" t="s">
        <v>858</v>
      </c>
      <c r="B26" s="1162"/>
    </row>
    <row r="27" spans="1:2" ht="29">
      <c r="A27" s="30" t="s">
        <v>263</v>
      </c>
      <c r="B27" s="37" t="s">
        <v>897</v>
      </c>
    </row>
    <row r="28" spans="1:2" ht="43.5">
      <c r="A28" s="30" t="s">
        <v>265</v>
      </c>
      <c r="B28" s="37" t="s">
        <v>898</v>
      </c>
    </row>
    <row r="29" spans="1:2">
      <c r="A29" s="30" t="s">
        <v>324</v>
      </c>
      <c r="B29" s="37" t="s">
        <v>899</v>
      </c>
    </row>
    <row r="30" spans="1:2">
      <c r="A30" s="30" t="s">
        <v>269</v>
      </c>
      <c r="B30" s="140" t="s">
        <v>900</v>
      </c>
    </row>
    <row r="31" spans="1:2">
      <c r="A31" s="30" t="s">
        <v>271</v>
      </c>
      <c r="B31" s="37" t="s">
        <v>901</v>
      </c>
    </row>
    <row r="32" spans="1:2">
      <c r="A32" s="30" t="s">
        <v>273</v>
      </c>
      <c r="B32" s="254" t="s">
        <v>821</v>
      </c>
    </row>
    <row r="33" spans="1:2" ht="15.75" customHeight="1">
      <c r="A33" s="1161" t="s">
        <v>859</v>
      </c>
      <c r="B33" s="1162"/>
    </row>
    <row r="34" spans="1:2" ht="111.75" customHeight="1">
      <c r="A34" s="30" t="s">
        <v>263</v>
      </c>
      <c r="B34" s="37" t="s">
        <v>902</v>
      </c>
    </row>
    <row r="35" spans="1:2" ht="43.5">
      <c r="A35" s="30" t="s">
        <v>265</v>
      </c>
      <c r="B35" s="37" t="s">
        <v>903</v>
      </c>
    </row>
    <row r="36" spans="1:2">
      <c r="A36" s="30" t="s">
        <v>324</v>
      </c>
      <c r="B36" s="37" t="s">
        <v>279</v>
      </c>
    </row>
    <row r="37" spans="1:2" ht="29">
      <c r="A37" s="30" t="s">
        <v>269</v>
      </c>
      <c r="B37" s="140" t="s">
        <v>888</v>
      </c>
    </row>
    <row r="38" spans="1:2" ht="29">
      <c r="A38" s="30" t="s">
        <v>271</v>
      </c>
      <c r="B38" s="37" t="s">
        <v>904</v>
      </c>
    </row>
    <row r="39" spans="1:2">
      <c r="A39" s="30" t="s">
        <v>273</v>
      </c>
      <c r="B39" s="254" t="s">
        <v>821</v>
      </c>
    </row>
    <row r="40" spans="1:2" ht="15.75" customHeight="1">
      <c r="A40" s="1161" t="s">
        <v>875</v>
      </c>
      <c r="B40" s="1162"/>
    </row>
    <row r="41" spans="1:2" ht="29">
      <c r="A41" s="30" t="s">
        <v>263</v>
      </c>
      <c r="B41" s="37" t="s">
        <v>905</v>
      </c>
    </row>
    <row r="42" spans="1:2" ht="58">
      <c r="A42" s="30" t="s">
        <v>265</v>
      </c>
      <c r="B42" s="37" t="s">
        <v>906</v>
      </c>
    </row>
    <row r="43" spans="1:2">
      <c r="A43" s="30" t="s">
        <v>324</v>
      </c>
      <c r="B43" s="250" t="s">
        <v>279</v>
      </c>
    </row>
    <row r="44" spans="1:2" ht="29">
      <c r="A44" s="30" t="s">
        <v>269</v>
      </c>
      <c r="B44" s="140" t="s">
        <v>907</v>
      </c>
    </row>
    <row r="45" spans="1:2" ht="29">
      <c r="A45" s="30" t="s">
        <v>271</v>
      </c>
      <c r="B45" s="37" t="s">
        <v>908</v>
      </c>
    </row>
    <row r="46" spans="1:2">
      <c r="A46" s="30" t="s">
        <v>273</v>
      </c>
      <c r="B46" s="37" t="s">
        <v>909</v>
      </c>
    </row>
    <row r="47" spans="1:2" ht="15.75" customHeight="1">
      <c r="A47" s="1161" t="s">
        <v>885</v>
      </c>
      <c r="B47" s="1162"/>
    </row>
    <row r="48" spans="1:2" ht="29">
      <c r="A48" s="30" t="s">
        <v>263</v>
      </c>
      <c r="B48" s="37" t="s">
        <v>910</v>
      </c>
    </row>
    <row r="49" spans="1:2" ht="58">
      <c r="A49" s="30" t="s">
        <v>265</v>
      </c>
      <c r="B49" s="37" t="s">
        <v>911</v>
      </c>
    </row>
    <row r="50" spans="1:2">
      <c r="A50" s="30" t="s">
        <v>324</v>
      </c>
      <c r="B50" s="37" t="s">
        <v>279</v>
      </c>
    </row>
    <row r="51" spans="1:2" ht="29">
      <c r="A51" s="30" t="s">
        <v>269</v>
      </c>
      <c r="B51" s="140" t="s">
        <v>912</v>
      </c>
    </row>
    <row r="52" spans="1:2">
      <c r="A52" s="30" t="s">
        <v>282</v>
      </c>
      <c r="B52" s="402" t="s">
        <v>913</v>
      </c>
    </row>
    <row r="53" spans="1:2">
      <c r="A53" s="30" t="s">
        <v>271</v>
      </c>
      <c r="B53" s="37" t="s">
        <v>914</v>
      </c>
    </row>
    <row r="54" spans="1:2">
      <c r="A54" s="30" t="s">
        <v>273</v>
      </c>
      <c r="B54" s="254" t="s">
        <v>821</v>
      </c>
    </row>
    <row r="56" spans="1:2">
      <c r="B56" s="883"/>
    </row>
    <row r="57" spans="1:2">
      <c r="B57" s="883"/>
    </row>
    <row r="58" spans="1:2">
      <c r="B58" s="883"/>
    </row>
    <row r="59" spans="1:2">
      <c r="B59" s="883"/>
    </row>
    <row r="60" spans="1:2">
      <c r="B60" s="884"/>
    </row>
  </sheetData>
  <mergeCells count="7">
    <mergeCell ref="A47:B47"/>
    <mergeCell ref="A2:B2"/>
    <mergeCell ref="A10:B10"/>
    <mergeCell ref="A18:B18"/>
    <mergeCell ref="A26:B26"/>
    <mergeCell ref="A33:B33"/>
    <mergeCell ref="A40:B40"/>
  </mergeCells>
  <conditionalFormatting sqref="B59">
    <cfRule type="cellIs" dxfId="1" priority="3" operator="lessThan">
      <formula>0</formula>
    </cfRule>
    <cfRule type="cellIs" dxfId="0" priority="4" operator="greaterThan">
      <formula>0</formula>
    </cfRule>
  </conditionalFormatting>
  <hyperlinks>
    <hyperlink ref="D1" location="INDICE!A69" display="SIGEM" xr:uid="{3CE3BD7A-F961-44BF-BB71-748E2A6E1629}"/>
    <hyperlink ref="B44" r:id="rId1" xr:uid="{0B243CE3-CD01-4227-AA92-F76ED5D5EC63}"/>
    <hyperlink ref="B6" r:id="rId2" xr:uid="{2C5BDF17-A3F8-445F-A69D-45DFDDC9B33C}"/>
    <hyperlink ref="B14" r:id="rId3" xr:uid="{1AF80461-0798-4C24-91F9-046F20E8C955}"/>
    <hyperlink ref="B22" r:id="rId4" xr:uid="{5FB1B308-05DB-41EC-B77D-5C85EFC7B680}"/>
    <hyperlink ref="B30" r:id="rId5" xr:uid="{DF722130-99A7-4400-ADE2-0597879CD543}"/>
    <hyperlink ref="B37" r:id="rId6" xr:uid="{1CDEB834-D244-4B64-B542-C8D31045B6D5}"/>
    <hyperlink ref="B51" r:id="rId7" display="Conjunto de datos obtenidos en el Portal de datos abiertos del Ayuntamiento de Madrid, desde 01/01/2014 hasta 31/12/2022. " xr:uid="{6A723FE2-5934-449D-B04E-4F99EA3DA26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4BA3-D1CC-4073-98DF-D846B2F88A95}">
  <sheetPr>
    <tabColor theme="2" tint="-9.9978637043366805E-2"/>
  </sheetPr>
  <dimension ref="A1:S75"/>
  <sheetViews>
    <sheetView showGridLines="0" topLeftCell="A35" zoomScale="50" zoomScaleNormal="50" workbookViewId="0">
      <selection activeCell="R77" sqref="R77"/>
    </sheetView>
  </sheetViews>
  <sheetFormatPr baseColWidth="10" defaultColWidth="11.453125" defaultRowHeight="14.5"/>
  <cols>
    <col min="1" max="1" width="14.54296875" customWidth="1"/>
    <col min="2" max="2" width="14.81640625" customWidth="1"/>
    <col min="3" max="3" width="12.81640625" bestFit="1" customWidth="1"/>
    <col min="18" max="18" width="19.1796875" customWidth="1"/>
  </cols>
  <sheetData>
    <row r="1" spans="1:19" ht="32" thickTop="1" thickBot="1">
      <c r="A1" s="118" t="s">
        <v>244</v>
      </c>
      <c r="B1" s="118"/>
      <c r="C1" s="118"/>
      <c r="D1" s="118"/>
      <c r="E1" s="118"/>
      <c r="F1" s="118"/>
      <c r="G1" s="118"/>
      <c r="H1" s="118"/>
      <c r="I1" s="118"/>
      <c r="J1" s="118"/>
      <c r="K1" s="118"/>
      <c r="L1" s="118"/>
      <c r="M1" s="118"/>
      <c r="N1" s="118"/>
      <c r="O1" s="118"/>
      <c r="P1" s="118"/>
      <c r="Q1" s="118"/>
      <c r="S1" s="136" t="s">
        <v>245</v>
      </c>
    </row>
    <row r="39" spans="1:4" ht="20.25" customHeight="1">
      <c r="C39" s="112"/>
      <c r="D39" s="112"/>
    </row>
    <row r="40" spans="1:4" ht="30" customHeight="1">
      <c r="C40" s="22"/>
      <c r="D40" s="22"/>
    </row>
    <row r="41" spans="1:4" ht="30" customHeight="1">
      <c r="A41" s="22"/>
      <c r="B41" s="117"/>
      <c r="C41" s="116"/>
      <c r="D41" s="116"/>
    </row>
    <row r="42" spans="1:4" ht="30" customHeight="1">
      <c r="A42" s="22"/>
      <c r="B42" s="117"/>
      <c r="C42" s="116"/>
      <c r="D42" s="116"/>
    </row>
    <row r="43" spans="1:4" ht="30" customHeight="1">
      <c r="A43" s="22"/>
      <c r="B43" s="117"/>
      <c r="C43" s="116"/>
      <c r="D43" s="116"/>
    </row>
    <row r="44" spans="1:4" ht="30" customHeight="1">
      <c r="A44" s="22"/>
      <c r="B44" s="117"/>
      <c r="C44" s="116"/>
      <c r="D44" s="116"/>
    </row>
    <row r="45" spans="1:4">
      <c r="A45" s="22"/>
      <c r="B45" s="117"/>
      <c r="C45" s="116"/>
      <c r="D45" s="116"/>
    </row>
    <row r="61" spans="7:9">
      <c r="G61" s="115"/>
      <c r="H61" s="115"/>
      <c r="I61" s="115"/>
    </row>
    <row r="62" spans="7:9">
      <c r="G62" s="115"/>
      <c r="H62" s="115"/>
      <c r="I62" s="115"/>
    </row>
    <row r="63" spans="7:9">
      <c r="G63" s="115"/>
      <c r="H63" s="115"/>
      <c r="I63" s="115"/>
    </row>
    <row r="70" spans="1:16">
      <c r="A70" s="114"/>
      <c r="B70" s="114"/>
      <c r="C70" s="114"/>
      <c r="D70" s="114"/>
    </row>
    <row r="75" spans="1:16">
      <c r="E75" s="114"/>
      <c r="F75" s="114"/>
      <c r="G75" s="114"/>
      <c r="H75" s="114"/>
      <c r="I75" s="114"/>
      <c r="J75" s="114"/>
      <c r="K75" s="114"/>
      <c r="L75" s="114"/>
      <c r="M75" s="114"/>
      <c r="N75" s="114"/>
      <c r="O75" s="114"/>
      <c r="P75" s="114"/>
    </row>
  </sheetData>
  <hyperlinks>
    <hyperlink ref="S1" location="INDICE!A3" display="SIGEM" xr:uid="{5422478D-0574-465D-8C43-69F7E03BF707}"/>
  </hyperlink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BA53-DB0B-4E0D-81E4-4B55E3E10CD8}">
  <sheetPr>
    <tabColor theme="2" tint="-9.9978637043366805E-2"/>
  </sheetPr>
  <dimension ref="A1:D24"/>
  <sheetViews>
    <sheetView showGridLines="0" topLeftCell="A17" zoomScale="90" zoomScaleNormal="90" workbookViewId="0">
      <selection activeCell="D14" sqref="D14"/>
    </sheetView>
  </sheetViews>
  <sheetFormatPr baseColWidth="10" defaultColWidth="11.453125" defaultRowHeight="14.5"/>
  <cols>
    <col min="1" max="1" width="17.81640625" customWidth="1"/>
    <col min="2" max="2" width="130.453125" customWidth="1"/>
  </cols>
  <sheetData>
    <row r="1" spans="1:4" ht="32" thickTop="1" thickBot="1">
      <c r="A1" s="1165" t="s">
        <v>244</v>
      </c>
      <c r="B1" s="1165"/>
      <c r="D1" s="136" t="s">
        <v>245</v>
      </c>
    </row>
    <row r="2" spans="1:4" ht="15.5">
      <c r="A2" s="1159" t="s">
        <v>247</v>
      </c>
      <c r="B2" s="1160"/>
    </row>
    <row r="3" spans="1:4" ht="52.5" customHeight="1">
      <c r="A3" s="30" t="s">
        <v>263</v>
      </c>
      <c r="B3" s="601" t="s">
        <v>264</v>
      </c>
      <c r="C3" s="850"/>
    </row>
    <row r="4" spans="1:4" ht="29">
      <c r="A4" s="30" t="s">
        <v>265</v>
      </c>
      <c r="B4" s="28" t="s">
        <v>266</v>
      </c>
    </row>
    <row r="5" spans="1:4">
      <c r="A5" s="30" t="s">
        <v>267</v>
      </c>
      <c r="B5" s="28" t="s">
        <v>268</v>
      </c>
    </row>
    <row r="6" spans="1:4">
      <c r="A6" s="30" t="s">
        <v>269</v>
      </c>
      <c r="B6" s="31" t="s">
        <v>270</v>
      </c>
    </row>
    <row r="7" spans="1:4">
      <c r="A7" s="30" t="s">
        <v>271</v>
      </c>
      <c r="B7" s="28" t="s">
        <v>272</v>
      </c>
    </row>
    <row r="8" spans="1:4">
      <c r="A8" s="30" t="s">
        <v>273</v>
      </c>
      <c r="B8" s="28" t="s">
        <v>274</v>
      </c>
    </row>
    <row r="9" spans="1:4" ht="15.5">
      <c r="A9" s="1161" t="s">
        <v>249</v>
      </c>
      <c r="B9" s="1162"/>
    </row>
    <row r="10" spans="1:4">
      <c r="A10" s="30" t="s">
        <v>263</v>
      </c>
      <c r="B10" s="28" t="s">
        <v>275</v>
      </c>
    </row>
    <row r="11" spans="1:4" ht="29">
      <c r="A11" s="30" t="s">
        <v>265</v>
      </c>
      <c r="B11" s="28" t="s">
        <v>276</v>
      </c>
    </row>
    <row r="12" spans="1:4">
      <c r="A12" s="30" t="s">
        <v>267</v>
      </c>
      <c r="B12" s="28" t="s">
        <v>268</v>
      </c>
    </row>
    <row r="13" spans="1:4">
      <c r="A13" s="30" t="s">
        <v>269</v>
      </c>
      <c r="B13" s="31" t="s">
        <v>270</v>
      </c>
    </row>
    <row r="14" spans="1:4">
      <c r="A14" s="30" t="s">
        <v>271</v>
      </c>
      <c r="B14" s="28" t="s">
        <v>272</v>
      </c>
    </row>
    <row r="15" spans="1:4">
      <c r="A15" s="30" t="s">
        <v>273</v>
      </c>
      <c r="B15" s="28" t="s">
        <v>274</v>
      </c>
    </row>
    <row r="16" spans="1:4" ht="15.5">
      <c r="A16" s="1163" t="s">
        <v>255</v>
      </c>
      <c r="B16" s="1164"/>
    </row>
    <row r="17" spans="1:2" ht="32.25" customHeight="1">
      <c r="A17" s="30" t="s">
        <v>263</v>
      </c>
      <c r="B17" s="30" t="s">
        <v>277</v>
      </c>
    </row>
    <row r="18" spans="1:2" ht="45.75" customHeight="1">
      <c r="A18" s="30" t="s">
        <v>265</v>
      </c>
      <c r="B18" s="30" t="s">
        <v>278</v>
      </c>
    </row>
    <row r="19" spans="1:2">
      <c r="A19" s="30" t="s">
        <v>267</v>
      </c>
      <c r="B19" s="30" t="s">
        <v>279</v>
      </c>
    </row>
    <row r="20" spans="1:2">
      <c r="A20" s="30" t="s">
        <v>269</v>
      </c>
      <c r="B20" s="31" t="s">
        <v>280</v>
      </c>
    </row>
    <row r="21" spans="1:2">
      <c r="A21" s="30" t="s">
        <v>271</v>
      </c>
      <c r="B21" s="30" t="s">
        <v>281</v>
      </c>
    </row>
    <row r="22" spans="1:2">
      <c r="A22" s="30" t="s">
        <v>273</v>
      </c>
      <c r="B22" s="30" t="s">
        <v>274</v>
      </c>
    </row>
    <row r="23" spans="1:2" ht="72.5">
      <c r="A23" s="30" t="s">
        <v>282</v>
      </c>
      <c r="B23" s="30" t="s">
        <v>283</v>
      </c>
    </row>
    <row r="24" spans="1:2">
      <c r="A24" s="135"/>
    </row>
  </sheetData>
  <mergeCells count="4">
    <mergeCell ref="A2:B2"/>
    <mergeCell ref="A9:B9"/>
    <mergeCell ref="A16:B16"/>
    <mergeCell ref="A1:B1"/>
  </mergeCells>
  <hyperlinks>
    <hyperlink ref="D1" location="INDICE!A3" display="SIGEM" xr:uid="{F06657DF-A7AB-4B7F-A6DE-28AB4AAB4BF6}"/>
    <hyperlink ref="B6" r:id="rId1" display="Elaborado por la Subdirección General de Estadística del Ayuntamiento de Madrid" xr:uid="{F46466B3-1018-451E-A2FE-6F73933AB2D0}"/>
    <hyperlink ref="B20" r:id="rId2" xr:uid="{15AB1BFC-6AF8-4630-8F9F-691202458914}"/>
    <hyperlink ref="B13" r:id="rId3" xr:uid="{CAE80F2F-7F7A-4B6C-AE5F-FF9FB9500FE8}"/>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C650-3B77-4EEF-AF04-EF896E7D43B7}">
  <sheetPr>
    <tabColor theme="5" tint="0.59999389629810485"/>
  </sheetPr>
  <dimension ref="A1:AB57"/>
  <sheetViews>
    <sheetView showGridLines="0" zoomScale="60" zoomScaleNormal="60" workbookViewId="0">
      <selection activeCell="B3" sqref="B3:B7"/>
    </sheetView>
  </sheetViews>
  <sheetFormatPr baseColWidth="10" defaultColWidth="11.453125" defaultRowHeight="14.5"/>
  <cols>
    <col min="1" max="1" width="24.7265625" bestFit="1" customWidth="1"/>
    <col min="2" max="2" width="43.1796875" customWidth="1"/>
    <col min="3" max="3" width="20.7265625" customWidth="1"/>
    <col min="4" max="4" width="27" customWidth="1"/>
    <col min="5" max="5" width="11.81640625" bestFit="1" customWidth="1"/>
    <col min="6" max="9" width="11.81640625" hidden="1" customWidth="1"/>
    <col min="10" max="10" width="11.81640625" bestFit="1" customWidth="1"/>
    <col min="11" max="14" width="11.81640625" hidden="1" customWidth="1"/>
    <col min="15" max="15" width="11.81640625" bestFit="1" customWidth="1"/>
    <col min="16" max="19" width="11.81640625" hidden="1" customWidth="1"/>
    <col min="20" max="22" width="11.81640625" bestFit="1" customWidth="1"/>
    <col min="23" max="23" width="11.81640625" customWidth="1"/>
    <col min="24" max="24" width="11.7265625" bestFit="1" customWidth="1"/>
    <col min="25" max="25" width="0" hidden="1" customWidth="1"/>
    <col min="27" max="27" width="18" bestFit="1" customWidth="1"/>
  </cols>
  <sheetData>
    <row r="1" spans="1:25" ht="35.15" customHeight="1" thickTop="1" thickBot="1">
      <c r="A1" s="1192" t="s">
        <v>284</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36" t="s">
        <v>245</v>
      </c>
    </row>
    <row r="2" spans="1:25" ht="15" thickBot="1">
      <c r="A2" s="6" t="s">
        <v>285</v>
      </c>
      <c r="B2" s="99" t="s">
        <v>246</v>
      </c>
      <c r="C2" s="1169"/>
      <c r="D2" s="1169"/>
      <c r="E2" s="96">
        <v>2005</v>
      </c>
      <c r="F2" s="96">
        <v>2006</v>
      </c>
      <c r="G2" s="96">
        <v>2007</v>
      </c>
      <c r="H2" s="96">
        <v>2008</v>
      </c>
      <c r="I2" s="96">
        <v>2009</v>
      </c>
      <c r="J2" s="96">
        <v>2010</v>
      </c>
      <c r="K2" s="96">
        <v>2011</v>
      </c>
      <c r="L2" s="96">
        <v>2012</v>
      </c>
      <c r="M2" s="96">
        <v>2013</v>
      </c>
      <c r="N2" s="96">
        <v>2014</v>
      </c>
      <c r="O2" s="96">
        <v>2015</v>
      </c>
      <c r="P2" s="96">
        <v>2016</v>
      </c>
      <c r="Q2" s="96">
        <v>2017</v>
      </c>
      <c r="R2" s="96">
        <v>2018</v>
      </c>
      <c r="S2" s="96">
        <v>2019</v>
      </c>
      <c r="T2" s="96">
        <v>2020</v>
      </c>
      <c r="U2" s="96">
        <v>2021</v>
      </c>
      <c r="V2" s="96">
        <v>2022</v>
      </c>
      <c r="W2" s="15">
        <v>2023</v>
      </c>
      <c r="X2" s="15">
        <v>2024</v>
      </c>
    </row>
    <row r="3" spans="1:25" ht="14.65" customHeight="1">
      <c r="A3" s="1170" t="s">
        <v>286</v>
      </c>
      <c r="B3" s="1200" t="s">
        <v>287</v>
      </c>
      <c r="C3" s="1204" t="s">
        <v>257</v>
      </c>
      <c r="D3" s="1205"/>
      <c r="E3" s="914">
        <v>3166168</v>
      </c>
      <c r="F3" s="914"/>
      <c r="G3" s="914"/>
      <c r="H3" s="914"/>
      <c r="I3" s="914"/>
      <c r="J3" s="915">
        <v>3284110</v>
      </c>
      <c r="K3" s="915"/>
      <c r="L3" s="915"/>
      <c r="M3" s="915"/>
      <c r="N3" s="915"/>
      <c r="O3" s="915">
        <v>3141991</v>
      </c>
      <c r="P3" s="915"/>
      <c r="Q3" s="915"/>
      <c r="R3" s="915"/>
      <c r="S3" s="915"/>
      <c r="T3" s="915">
        <v>3334730</v>
      </c>
      <c r="U3" s="915">
        <v>3312310</v>
      </c>
      <c r="V3" s="916">
        <v>3286662</v>
      </c>
      <c r="W3" s="359">
        <v>3339931</v>
      </c>
      <c r="X3" s="359">
        <v>3460491</v>
      </c>
    </row>
    <row r="4" spans="1:25">
      <c r="A4" s="1171"/>
      <c r="B4" s="1201"/>
      <c r="C4" s="1179" t="s">
        <v>258</v>
      </c>
      <c r="D4" s="1206"/>
      <c r="E4" s="917">
        <v>1488179</v>
      </c>
      <c r="F4" s="917"/>
      <c r="G4" s="917"/>
      <c r="H4" s="917"/>
      <c r="I4" s="917"/>
      <c r="J4" s="918">
        <v>1544335</v>
      </c>
      <c r="K4" s="918"/>
      <c r="L4" s="918"/>
      <c r="M4" s="918"/>
      <c r="N4" s="918"/>
      <c r="O4" s="918">
        <v>1461469</v>
      </c>
      <c r="P4" s="918"/>
      <c r="Q4" s="918"/>
      <c r="R4" s="918"/>
      <c r="S4" s="918"/>
      <c r="T4" s="918">
        <v>1554732</v>
      </c>
      <c r="U4" s="918">
        <v>1545157</v>
      </c>
      <c r="V4" s="919">
        <v>1534824</v>
      </c>
      <c r="W4" s="350">
        <v>1559866</v>
      </c>
      <c r="X4" s="350">
        <v>1620768</v>
      </c>
    </row>
    <row r="5" spans="1:25">
      <c r="A5" s="1171"/>
      <c r="B5" s="1201"/>
      <c r="C5" s="1207" t="s">
        <v>259</v>
      </c>
      <c r="D5" s="1208"/>
      <c r="E5" s="920">
        <v>1677989</v>
      </c>
      <c r="F5" s="920"/>
      <c r="G5" s="920"/>
      <c r="H5" s="920"/>
      <c r="I5" s="920"/>
      <c r="J5" s="921">
        <v>1739775</v>
      </c>
      <c r="K5" s="921"/>
      <c r="L5" s="921"/>
      <c r="M5" s="921"/>
      <c r="N5" s="921"/>
      <c r="O5" s="921">
        <v>1680522</v>
      </c>
      <c r="P5" s="921"/>
      <c r="Q5" s="921"/>
      <c r="R5" s="921"/>
      <c r="S5" s="921"/>
      <c r="T5" s="921">
        <v>1779998</v>
      </c>
      <c r="U5" s="921">
        <v>1767153</v>
      </c>
      <c r="V5" s="922">
        <v>1751838</v>
      </c>
      <c r="W5" s="350">
        <v>1780065</v>
      </c>
      <c r="X5" s="350">
        <v>1839723</v>
      </c>
    </row>
    <row r="6" spans="1:25">
      <c r="A6" s="1171"/>
      <c r="B6" s="1202"/>
      <c r="C6" s="1187" t="s">
        <v>288</v>
      </c>
      <c r="D6" s="1188"/>
      <c r="E6" s="923">
        <f>+E5-E4</f>
        <v>189810</v>
      </c>
      <c r="F6" s="923"/>
      <c r="G6" s="923"/>
      <c r="H6" s="923"/>
      <c r="I6" s="923"/>
      <c r="J6" s="924">
        <f t="shared" ref="J6:V6" si="0">+J5-J4</f>
        <v>195440</v>
      </c>
      <c r="K6" s="924"/>
      <c r="L6" s="924"/>
      <c r="M6" s="924"/>
      <c r="N6" s="924"/>
      <c r="O6" s="924">
        <f t="shared" si="0"/>
        <v>219053</v>
      </c>
      <c r="P6" s="924"/>
      <c r="Q6" s="924"/>
      <c r="R6" s="924"/>
      <c r="S6" s="924"/>
      <c r="T6" s="924">
        <f t="shared" si="0"/>
        <v>225266</v>
      </c>
      <c r="U6" s="924">
        <f t="shared" si="0"/>
        <v>221996</v>
      </c>
      <c r="V6" s="924">
        <f t="shared" si="0"/>
        <v>217014</v>
      </c>
      <c r="W6" s="925">
        <f t="shared" ref="W6:X6" si="1">+W5-W4</f>
        <v>220199</v>
      </c>
      <c r="X6" s="925">
        <f t="shared" si="1"/>
        <v>218955</v>
      </c>
    </row>
    <row r="7" spans="1:25" ht="15" thickBot="1">
      <c r="A7" s="1171"/>
      <c r="B7" s="1203"/>
      <c r="C7" s="1181" t="s">
        <v>289</v>
      </c>
      <c r="D7" s="1181"/>
      <c r="E7" s="926">
        <f>(E5/E3)*100</f>
        <v>52.997472022962775</v>
      </c>
      <c r="F7" s="926"/>
      <c r="G7" s="926"/>
      <c r="H7" s="926"/>
      <c r="I7" s="926"/>
      <c r="J7" s="927">
        <f t="shared" ref="J7:V7" si="2">(J5/J3)*100</f>
        <v>52.975539796170047</v>
      </c>
      <c r="K7" s="927"/>
      <c r="L7" s="927"/>
      <c r="M7" s="927"/>
      <c r="N7" s="927"/>
      <c r="O7" s="927">
        <f t="shared" si="2"/>
        <v>53.485894771818252</v>
      </c>
      <c r="P7" s="927"/>
      <c r="Q7" s="927"/>
      <c r="R7" s="927"/>
      <c r="S7" s="927"/>
      <c r="T7" s="927">
        <f t="shared" si="2"/>
        <v>53.37757479616041</v>
      </c>
      <c r="U7" s="927">
        <f t="shared" si="2"/>
        <v>53.351075231484977</v>
      </c>
      <c r="V7" s="927">
        <f t="shared" si="2"/>
        <v>53.301434707919462</v>
      </c>
      <c r="W7" s="928">
        <f t="shared" ref="W7:X7" si="3">(W5/W3)*100</f>
        <v>53.296460316096351</v>
      </c>
      <c r="X7" s="928">
        <f t="shared" si="3"/>
        <v>53.163640650994324</v>
      </c>
    </row>
    <row r="8" spans="1:25" ht="15" thickBot="1">
      <c r="A8" s="1171"/>
      <c r="B8" s="98" t="s">
        <v>246</v>
      </c>
      <c r="C8" s="1174"/>
      <c r="D8" s="1174"/>
      <c r="E8" s="96">
        <v>2005</v>
      </c>
      <c r="F8" s="96">
        <v>2006</v>
      </c>
      <c r="G8" s="96">
        <v>2007</v>
      </c>
      <c r="H8" s="96">
        <v>2008</v>
      </c>
      <c r="I8" s="96">
        <v>2009</v>
      </c>
      <c r="J8" s="96">
        <v>2010</v>
      </c>
      <c r="K8" s="96">
        <v>2011</v>
      </c>
      <c r="L8" s="96">
        <v>2012</v>
      </c>
      <c r="M8" s="96">
        <v>2013</v>
      </c>
      <c r="N8" s="96">
        <v>2014</v>
      </c>
      <c r="O8" s="96">
        <v>2015</v>
      </c>
      <c r="P8" s="96">
        <v>2016</v>
      </c>
      <c r="Q8" s="96">
        <v>2017</v>
      </c>
      <c r="R8" s="96">
        <v>2018</v>
      </c>
      <c r="S8" s="96">
        <v>2019</v>
      </c>
      <c r="T8" s="96">
        <v>2020</v>
      </c>
      <c r="U8" s="96">
        <v>2021</v>
      </c>
      <c r="V8" s="96">
        <v>2022</v>
      </c>
      <c r="W8" s="15">
        <v>2023</v>
      </c>
      <c r="X8" s="15">
        <v>2024</v>
      </c>
    </row>
    <row r="9" spans="1:25" ht="14.5" customHeight="1">
      <c r="A9" s="1171"/>
      <c r="B9" s="1184" t="s">
        <v>290</v>
      </c>
      <c r="C9" s="1175" t="s">
        <v>291</v>
      </c>
      <c r="D9" s="41" t="s">
        <v>291</v>
      </c>
      <c r="E9" s="358">
        <v>3167424</v>
      </c>
      <c r="F9" s="358"/>
      <c r="G9" s="358"/>
      <c r="H9" s="358"/>
      <c r="I9" s="358"/>
      <c r="J9" s="358">
        <v>3284110</v>
      </c>
      <c r="K9" s="358"/>
      <c r="L9" s="358"/>
      <c r="M9" s="358"/>
      <c r="N9" s="358"/>
      <c r="O9" s="358">
        <v>3141991</v>
      </c>
      <c r="P9" s="358"/>
      <c r="Q9" s="358"/>
      <c r="R9" s="358"/>
      <c r="S9" s="358"/>
      <c r="T9" s="358">
        <f t="shared" ref="T9:V9" si="4">SUM(T15,T21)</f>
        <v>3334730</v>
      </c>
      <c r="U9" s="358">
        <f t="shared" si="4"/>
        <v>3312310</v>
      </c>
      <c r="V9" s="358">
        <f t="shared" si="4"/>
        <v>3286662</v>
      </c>
      <c r="W9" s="359">
        <v>3339931</v>
      </c>
      <c r="X9" s="359">
        <v>3460491</v>
      </c>
    </row>
    <row r="10" spans="1:25">
      <c r="A10" s="1171"/>
      <c r="B10" s="1185"/>
      <c r="C10" s="1176"/>
      <c r="D10" s="987" t="s">
        <v>292</v>
      </c>
      <c r="E10" s="349">
        <v>430373</v>
      </c>
      <c r="F10" s="349"/>
      <c r="G10" s="349"/>
      <c r="H10" s="349"/>
      <c r="I10" s="349"/>
      <c r="J10" s="349">
        <v>465882</v>
      </c>
      <c r="K10" s="349"/>
      <c r="L10" s="349"/>
      <c r="M10" s="349"/>
      <c r="N10" s="349"/>
      <c r="O10" s="349">
        <v>455733</v>
      </c>
      <c r="P10" s="349"/>
      <c r="Q10" s="349"/>
      <c r="R10" s="349"/>
      <c r="S10" s="349"/>
      <c r="T10" s="349">
        <f t="shared" ref="T10:V14" si="5">SUM(T16,T22)</f>
        <v>466141</v>
      </c>
      <c r="U10" s="349">
        <f t="shared" si="5"/>
        <v>455915</v>
      </c>
      <c r="V10" s="349">
        <f t="shared" si="5"/>
        <v>445391</v>
      </c>
      <c r="W10" s="350">
        <v>443972</v>
      </c>
      <c r="X10" s="350">
        <v>418250</v>
      </c>
    </row>
    <row r="11" spans="1:25">
      <c r="A11" s="1171"/>
      <c r="B11" s="1185"/>
      <c r="C11" s="1176"/>
      <c r="D11" s="987" t="s">
        <v>293</v>
      </c>
      <c r="E11" s="349">
        <v>2147076</v>
      </c>
      <c r="F11" s="349"/>
      <c r="G11" s="349"/>
      <c r="H11" s="349"/>
      <c r="I11" s="349"/>
      <c r="J11" s="349">
        <v>2201872</v>
      </c>
      <c r="K11" s="349"/>
      <c r="L11" s="349"/>
      <c r="M11" s="349"/>
      <c r="N11" s="349"/>
      <c r="O11" s="349">
        <v>2042396</v>
      </c>
      <c r="P11" s="349"/>
      <c r="Q11" s="349"/>
      <c r="R11" s="349"/>
      <c r="S11" s="349"/>
      <c r="T11" s="349">
        <f t="shared" si="5"/>
        <v>2199546</v>
      </c>
      <c r="U11" s="349">
        <f t="shared" si="5"/>
        <v>2193001</v>
      </c>
      <c r="V11" s="349">
        <f t="shared" si="5"/>
        <v>2174672</v>
      </c>
      <c r="W11" s="350">
        <v>2221332</v>
      </c>
      <c r="X11" s="350">
        <v>2351246</v>
      </c>
    </row>
    <row r="12" spans="1:25">
      <c r="A12" s="1171"/>
      <c r="B12" s="1185"/>
      <c r="C12" s="1176"/>
      <c r="D12" s="987" t="s">
        <v>294</v>
      </c>
      <c r="E12" s="349">
        <v>589874</v>
      </c>
      <c r="F12" s="349"/>
      <c r="G12" s="349"/>
      <c r="H12" s="349"/>
      <c r="I12" s="349"/>
      <c r="J12" s="349">
        <v>616317</v>
      </c>
      <c r="K12" s="349"/>
      <c r="L12" s="349"/>
      <c r="M12" s="349"/>
      <c r="N12" s="349"/>
      <c r="O12" s="349">
        <v>643862</v>
      </c>
      <c r="P12" s="349"/>
      <c r="Q12" s="349"/>
      <c r="R12" s="349"/>
      <c r="S12" s="349"/>
      <c r="T12" s="349">
        <f t="shared" si="5"/>
        <v>669043</v>
      </c>
      <c r="U12" s="349">
        <f t="shared" si="5"/>
        <v>663394</v>
      </c>
      <c r="V12" s="349">
        <f t="shared" si="5"/>
        <v>666599</v>
      </c>
      <c r="W12" s="350">
        <v>674627</v>
      </c>
      <c r="X12" s="350">
        <v>690992</v>
      </c>
    </row>
    <row r="13" spans="1:25">
      <c r="A13" s="1171"/>
      <c r="B13" s="1185"/>
      <c r="C13" s="1176"/>
      <c r="D13" s="987" t="s">
        <v>295</v>
      </c>
      <c r="E13" s="349">
        <v>156957</v>
      </c>
      <c r="F13" s="349"/>
      <c r="G13" s="349"/>
      <c r="H13" s="349"/>
      <c r="I13" s="349"/>
      <c r="J13" s="349">
        <v>189705</v>
      </c>
      <c r="K13" s="349"/>
      <c r="L13" s="349"/>
      <c r="M13" s="349"/>
      <c r="N13" s="349"/>
      <c r="O13" s="349">
        <v>225490</v>
      </c>
      <c r="P13" s="349"/>
      <c r="Q13" s="349"/>
      <c r="R13" s="349"/>
      <c r="S13" s="349"/>
      <c r="T13" s="349">
        <f t="shared" si="5"/>
        <v>235556</v>
      </c>
      <c r="U13" s="349">
        <f t="shared" si="5"/>
        <v>234625</v>
      </c>
      <c r="V13" s="349">
        <f t="shared" si="5"/>
        <v>233355</v>
      </c>
      <c r="W13" s="350">
        <v>233373</v>
      </c>
      <c r="X13" s="350">
        <v>239557</v>
      </c>
    </row>
    <row r="14" spans="1:25">
      <c r="A14" s="1171"/>
      <c r="B14" s="1185"/>
      <c r="C14" s="1177"/>
      <c r="D14" s="987" t="s">
        <v>296</v>
      </c>
      <c r="E14" s="929">
        <v>101</v>
      </c>
      <c r="F14" s="929"/>
      <c r="G14" s="929"/>
      <c r="H14" s="929"/>
      <c r="I14" s="929"/>
      <c r="J14" s="929">
        <v>39</v>
      </c>
      <c r="K14" s="929"/>
      <c r="L14" s="929"/>
      <c r="M14" s="929"/>
      <c r="N14" s="929"/>
      <c r="O14" s="929">
        <v>0</v>
      </c>
      <c r="P14" s="929"/>
      <c r="Q14" s="929"/>
      <c r="R14" s="929"/>
      <c r="S14" s="929"/>
      <c r="T14" s="929">
        <f t="shared" si="5"/>
        <v>0</v>
      </c>
      <c r="U14" s="929">
        <f t="shared" si="5"/>
        <v>0</v>
      </c>
      <c r="V14" s="929">
        <f t="shared" si="5"/>
        <v>0</v>
      </c>
      <c r="W14" s="930">
        <v>0</v>
      </c>
      <c r="X14" s="350">
        <v>3</v>
      </c>
    </row>
    <row r="15" spans="1:25" ht="14.5" customHeight="1">
      <c r="A15" s="1171"/>
      <c r="B15" s="1185"/>
      <c r="C15" s="1175" t="s">
        <v>258</v>
      </c>
      <c r="D15" s="41" t="s">
        <v>291</v>
      </c>
      <c r="E15" s="916">
        <v>1488791</v>
      </c>
      <c r="F15" s="916"/>
      <c r="G15" s="916"/>
      <c r="H15" s="916"/>
      <c r="I15" s="916"/>
      <c r="J15" s="916">
        <v>1544335</v>
      </c>
      <c r="K15" s="916"/>
      <c r="L15" s="916"/>
      <c r="M15" s="916"/>
      <c r="N15" s="916"/>
      <c r="O15" s="916">
        <v>1461469</v>
      </c>
      <c r="P15" s="916"/>
      <c r="Q15" s="916"/>
      <c r="R15" s="916"/>
      <c r="S15" s="916"/>
      <c r="T15" s="916">
        <f>SUM(T16:T18,T20)</f>
        <v>1554732</v>
      </c>
      <c r="U15" s="916">
        <f>SUM(U16:U18,U20)</f>
        <v>1545157</v>
      </c>
      <c r="V15" s="916">
        <f>SUM(V16:V18,V20)</f>
        <v>1534824</v>
      </c>
      <c r="W15" s="359">
        <v>1559866</v>
      </c>
      <c r="X15" s="359">
        <v>1620768</v>
      </c>
    </row>
    <row r="16" spans="1:25">
      <c r="A16" s="1171"/>
      <c r="B16" s="1185"/>
      <c r="C16" s="1176"/>
      <c r="D16" s="987" t="s">
        <v>292</v>
      </c>
      <c r="E16" s="919">
        <v>220439</v>
      </c>
      <c r="F16" s="919"/>
      <c r="G16" s="919"/>
      <c r="H16" s="919"/>
      <c r="I16" s="919"/>
      <c r="J16" s="919">
        <v>238619</v>
      </c>
      <c r="K16" s="919"/>
      <c r="L16" s="919"/>
      <c r="M16" s="919"/>
      <c r="N16" s="919"/>
      <c r="O16" s="919">
        <v>233057</v>
      </c>
      <c r="P16" s="919"/>
      <c r="Q16" s="919"/>
      <c r="R16" s="919"/>
      <c r="S16" s="919"/>
      <c r="T16" s="919">
        <v>238404</v>
      </c>
      <c r="U16" s="919">
        <v>233089</v>
      </c>
      <c r="V16" s="919">
        <v>227939</v>
      </c>
      <c r="W16" s="350">
        <v>227115</v>
      </c>
      <c r="X16" s="350">
        <v>213799</v>
      </c>
    </row>
    <row r="17" spans="1:28">
      <c r="A17" s="1171"/>
      <c r="B17" s="1185"/>
      <c r="C17" s="1176"/>
      <c r="D17" s="987" t="s">
        <v>293</v>
      </c>
      <c r="E17" s="919">
        <v>1040259</v>
      </c>
      <c r="F17" s="919"/>
      <c r="G17" s="919"/>
      <c r="H17" s="919"/>
      <c r="I17" s="919"/>
      <c r="J17" s="919">
        <v>1066516</v>
      </c>
      <c r="K17" s="919"/>
      <c r="L17" s="919"/>
      <c r="M17" s="919"/>
      <c r="N17" s="919"/>
      <c r="O17" s="919">
        <v>977679</v>
      </c>
      <c r="P17" s="919"/>
      <c r="Q17" s="919"/>
      <c r="R17" s="919"/>
      <c r="S17" s="919"/>
      <c r="T17" s="919">
        <v>1054413</v>
      </c>
      <c r="U17" s="919">
        <v>1053420</v>
      </c>
      <c r="V17" s="919">
        <v>1046627</v>
      </c>
      <c r="W17" s="350">
        <v>1068678</v>
      </c>
      <c r="X17" s="350">
        <v>1135068</v>
      </c>
    </row>
    <row r="18" spans="1:28">
      <c r="A18" s="1171"/>
      <c r="B18" s="1185"/>
      <c r="C18" s="1176"/>
      <c r="D18" s="987" t="s">
        <v>294</v>
      </c>
      <c r="E18" s="919">
        <v>228045</v>
      </c>
      <c r="F18" s="919"/>
      <c r="G18" s="919"/>
      <c r="H18" s="919"/>
      <c r="I18" s="919"/>
      <c r="J18" s="919">
        <v>239185</v>
      </c>
      <c r="K18" s="919"/>
      <c r="L18" s="919"/>
      <c r="M18" s="919"/>
      <c r="N18" s="919"/>
      <c r="O18" s="919">
        <v>250733</v>
      </c>
      <c r="P18" s="919"/>
      <c r="Q18" s="919"/>
      <c r="R18" s="919"/>
      <c r="S18" s="919"/>
      <c r="T18" s="919">
        <v>261915</v>
      </c>
      <c r="U18" s="919">
        <v>258648</v>
      </c>
      <c r="V18" s="919">
        <v>260258</v>
      </c>
      <c r="W18" s="350">
        <v>264073</v>
      </c>
      <c r="X18" s="350">
        <v>271901</v>
      </c>
    </row>
    <row r="19" spans="1:28">
      <c r="A19" s="1171"/>
      <c r="B19" s="1185"/>
      <c r="C19" s="1176"/>
      <c r="D19" s="987" t="s">
        <v>295</v>
      </c>
      <c r="E19" s="919">
        <v>48549</v>
      </c>
      <c r="F19" s="919"/>
      <c r="G19" s="919"/>
      <c r="H19" s="919"/>
      <c r="I19" s="919"/>
      <c r="J19" s="919">
        <v>61641</v>
      </c>
      <c r="K19" s="919"/>
      <c r="L19" s="919"/>
      <c r="M19" s="919"/>
      <c r="N19" s="919"/>
      <c r="O19" s="919">
        <v>76648</v>
      </c>
      <c r="P19" s="919"/>
      <c r="Q19" s="919"/>
      <c r="R19" s="919"/>
      <c r="S19" s="919"/>
      <c r="T19" s="919">
        <v>80692</v>
      </c>
      <c r="U19" s="919">
        <v>79846</v>
      </c>
      <c r="V19" s="919">
        <v>79261</v>
      </c>
      <c r="W19" s="350">
        <v>79459</v>
      </c>
      <c r="X19" s="350">
        <v>81964</v>
      </c>
    </row>
    <row r="20" spans="1:28">
      <c r="A20" s="1171"/>
      <c r="B20" s="1185"/>
      <c r="C20" s="1177"/>
      <c r="D20" s="987" t="s">
        <v>296</v>
      </c>
      <c r="E20" s="931">
        <v>48</v>
      </c>
      <c r="F20" s="931"/>
      <c r="G20" s="931"/>
      <c r="H20" s="931"/>
      <c r="I20" s="931"/>
      <c r="J20" s="931">
        <v>15</v>
      </c>
      <c r="K20" s="931"/>
      <c r="L20" s="931"/>
      <c r="M20" s="931"/>
      <c r="N20" s="931"/>
      <c r="O20" s="931">
        <v>0</v>
      </c>
      <c r="P20" s="931"/>
      <c r="Q20" s="931"/>
      <c r="R20" s="931"/>
      <c r="S20" s="931"/>
      <c r="T20" s="931">
        <v>0</v>
      </c>
      <c r="U20" s="931">
        <v>0</v>
      </c>
      <c r="V20" s="931">
        <v>0</v>
      </c>
      <c r="W20" s="930">
        <v>0</v>
      </c>
      <c r="X20" s="350">
        <v>0</v>
      </c>
    </row>
    <row r="21" spans="1:28">
      <c r="A21" s="1171"/>
      <c r="B21" s="1185"/>
      <c r="C21" s="1178" t="s">
        <v>259</v>
      </c>
      <c r="D21" s="41" t="s">
        <v>291</v>
      </c>
      <c r="E21" s="916">
        <v>1678633</v>
      </c>
      <c r="F21" s="916"/>
      <c r="G21" s="916"/>
      <c r="H21" s="916"/>
      <c r="I21" s="916"/>
      <c r="J21" s="916">
        <v>1739775</v>
      </c>
      <c r="K21" s="916"/>
      <c r="L21" s="916"/>
      <c r="M21" s="916"/>
      <c r="N21" s="916"/>
      <c r="O21" s="916">
        <v>1680522</v>
      </c>
      <c r="P21" s="916"/>
      <c r="Q21" s="916"/>
      <c r="R21" s="916"/>
      <c r="S21" s="916"/>
      <c r="T21" s="916">
        <f>SUM(T22:T24,T26)</f>
        <v>1779998</v>
      </c>
      <c r="U21" s="916">
        <f>SUM(U22:U24,U26)</f>
        <v>1767153</v>
      </c>
      <c r="V21" s="916">
        <f>SUM(V22:V24,V26)</f>
        <v>1751838</v>
      </c>
      <c r="W21" s="359">
        <v>1780065</v>
      </c>
      <c r="X21" s="359">
        <v>1839723</v>
      </c>
      <c r="Z21" s="12"/>
      <c r="AA21" s="13"/>
      <c r="AB21" s="13"/>
    </row>
    <row r="22" spans="1:28">
      <c r="A22" s="1171"/>
      <c r="B22" s="1185"/>
      <c r="C22" s="1179"/>
      <c r="D22" s="987" t="s">
        <v>292</v>
      </c>
      <c r="E22" s="919">
        <v>209934</v>
      </c>
      <c r="F22" s="919"/>
      <c r="G22" s="919"/>
      <c r="H22" s="919"/>
      <c r="I22" s="919"/>
      <c r="J22" s="919">
        <v>227263</v>
      </c>
      <c r="K22" s="919"/>
      <c r="L22" s="919"/>
      <c r="M22" s="919"/>
      <c r="N22" s="919"/>
      <c r="O22" s="919">
        <v>222676</v>
      </c>
      <c r="P22" s="919"/>
      <c r="Q22" s="919"/>
      <c r="R22" s="919"/>
      <c r="S22" s="919"/>
      <c r="T22" s="919">
        <v>227737</v>
      </c>
      <c r="U22" s="919">
        <v>222826</v>
      </c>
      <c r="V22" s="919">
        <v>217452</v>
      </c>
      <c r="W22" s="350">
        <v>216857</v>
      </c>
      <c r="X22" s="350">
        <v>204451</v>
      </c>
      <c r="Z22" s="12"/>
      <c r="AA22" s="13"/>
      <c r="AB22" s="13"/>
    </row>
    <row r="23" spans="1:28">
      <c r="A23" s="1171"/>
      <c r="B23" s="1185"/>
      <c r="C23" s="1179"/>
      <c r="D23" s="987" t="s">
        <v>293</v>
      </c>
      <c r="E23" s="919">
        <v>1106817</v>
      </c>
      <c r="F23" s="919"/>
      <c r="G23" s="919"/>
      <c r="H23" s="919"/>
      <c r="I23" s="919"/>
      <c r="J23" s="919">
        <v>1135356</v>
      </c>
      <c r="K23" s="919"/>
      <c r="L23" s="919"/>
      <c r="M23" s="919"/>
      <c r="N23" s="919"/>
      <c r="O23" s="919">
        <v>1064717</v>
      </c>
      <c r="P23" s="919"/>
      <c r="Q23" s="919"/>
      <c r="R23" s="919"/>
      <c r="S23" s="919"/>
      <c r="T23" s="919">
        <v>1145133</v>
      </c>
      <c r="U23" s="919">
        <v>1139581</v>
      </c>
      <c r="V23" s="919">
        <v>1128045</v>
      </c>
      <c r="W23" s="350">
        <v>1152654</v>
      </c>
      <c r="X23" s="350">
        <v>1216178</v>
      </c>
      <c r="Z23" s="12"/>
      <c r="AA23" s="13"/>
      <c r="AB23" s="13"/>
    </row>
    <row r="24" spans="1:28">
      <c r="A24" s="1171"/>
      <c r="B24" s="1185"/>
      <c r="C24" s="1179"/>
      <c r="D24" s="987" t="s">
        <v>294</v>
      </c>
      <c r="E24" s="919">
        <v>361829</v>
      </c>
      <c r="F24" s="919"/>
      <c r="G24" s="919"/>
      <c r="H24" s="919"/>
      <c r="I24" s="919"/>
      <c r="J24" s="919">
        <v>377132</v>
      </c>
      <c r="K24" s="919"/>
      <c r="L24" s="919"/>
      <c r="M24" s="919"/>
      <c r="N24" s="919"/>
      <c r="O24" s="919">
        <v>393129</v>
      </c>
      <c r="P24" s="919"/>
      <c r="Q24" s="919"/>
      <c r="R24" s="919"/>
      <c r="S24" s="919"/>
      <c r="T24" s="919">
        <v>407128</v>
      </c>
      <c r="U24" s="919">
        <v>404746</v>
      </c>
      <c r="V24" s="919">
        <v>406341</v>
      </c>
      <c r="W24" s="350">
        <v>410554</v>
      </c>
      <c r="X24" s="350">
        <v>419091</v>
      </c>
      <c r="Z24" s="12"/>
      <c r="AA24" s="13"/>
      <c r="AB24" s="13"/>
    </row>
    <row r="25" spans="1:28">
      <c r="A25" s="1171"/>
      <c r="B25" s="1185"/>
      <c r="C25" s="1179"/>
      <c r="D25" s="987" t="s">
        <v>295</v>
      </c>
      <c r="E25" s="919">
        <v>108408</v>
      </c>
      <c r="F25" s="919"/>
      <c r="G25" s="919"/>
      <c r="H25" s="919"/>
      <c r="I25" s="919"/>
      <c r="J25" s="919">
        <v>128064</v>
      </c>
      <c r="K25" s="919"/>
      <c r="L25" s="919"/>
      <c r="M25" s="919"/>
      <c r="N25" s="919"/>
      <c r="O25" s="919">
        <v>148842</v>
      </c>
      <c r="P25" s="919"/>
      <c r="Q25" s="919"/>
      <c r="R25" s="919"/>
      <c r="S25" s="919"/>
      <c r="T25" s="919">
        <v>154864</v>
      </c>
      <c r="U25" s="919">
        <v>154779</v>
      </c>
      <c r="V25" s="919">
        <v>154094</v>
      </c>
      <c r="W25" s="350">
        <v>153914</v>
      </c>
      <c r="X25" s="350">
        <v>157593</v>
      </c>
      <c r="Z25" s="12"/>
      <c r="AA25" s="13"/>
      <c r="AB25" s="13"/>
    </row>
    <row r="26" spans="1:28">
      <c r="A26" s="1171"/>
      <c r="B26" s="1185"/>
      <c r="C26" s="1180"/>
      <c r="D26" s="987" t="s">
        <v>296</v>
      </c>
      <c r="E26" s="931">
        <v>53</v>
      </c>
      <c r="F26" s="931"/>
      <c r="G26" s="931"/>
      <c r="H26" s="931"/>
      <c r="I26" s="931"/>
      <c r="J26" s="931">
        <v>24</v>
      </c>
      <c r="K26" s="931"/>
      <c r="L26" s="931"/>
      <c r="M26" s="931"/>
      <c r="N26" s="931"/>
      <c r="O26" s="931">
        <v>0</v>
      </c>
      <c r="P26" s="931"/>
      <c r="Q26" s="931"/>
      <c r="R26" s="931"/>
      <c r="S26" s="931"/>
      <c r="T26" s="931">
        <v>0</v>
      </c>
      <c r="U26" s="931">
        <v>0</v>
      </c>
      <c r="V26" s="931">
        <v>0</v>
      </c>
      <c r="W26" s="930">
        <v>0</v>
      </c>
      <c r="X26" s="350">
        <v>3</v>
      </c>
      <c r="Z26" s="12"/>
      <c r="AA26" s="13"/>
      <c r="AB26" s="13"/>
    </row>
    <row r="27" spans="1:28">
      <c r="A27" s="1171"/>
      <c r="B27" s="1185"/>
      <c r="C27" s="1196" t="s">
        <v>288</v>
      </c>
      <c r="D27" s="41" t="s">
        <v>291</v>
      </c>
      <c r="E27" s="932">
        <f t="shared" ref="E27:V31" si="6">+E21-E15</f>
        <v>189842</v>
      </c>
      <c r="F27" s="932"/>
      <c r="G27" s="932"/>
      <c r="H27" s="932"/>
      <c r="I27" s="932"/>
      <c r="J27" s="932">
        <f t="shared" si="6"/>
        <v>195440</v>
      </c>
      <c r="K27" s="932"/>
      <c r="L27" s="932"/>
      <c r="M27" s="932"/>
      <c r="N27" s="932"/>
      <c r="O27" s="932">
        <f t="shared" si="6"/>
        <v>219053</v>
      </c>
      <c r="P27" s="932"/>
      <c r="Q27" s="932"/>
      <c r="R27" s="932"/>
      <c r="S27" s="932"/>
      <c r="T27" s="932">
        <f t="shared" si="6"/>
        <v>225266</v>
      </c>
      <c r="U27" s="932">
        <f t="shared" si="6"/>
        <v>221996</v>
      </c>
      <c r="V27" s="932">
        <f t="shared" si="6"/>
        <v>217014</v>
      </c>
      <c r="W27" s="933">
        <f t="shared" ref="W27" si="7">+W21-W15</f>
        <v>220199</v>
      </c>
      <c r="X27" s="933">
        <f>+X21-X15</f>
        <v>218955</v>
      </c>
    </row>
    <row r="28" spans="1:28">
      <c r="A28" s="1171"/>
      <c r="B28" s="1185"/>
      <c r="C28" s="1197"/>
      <c r="D28" s="987" t="s">
        <v>292</v>
      </c>
      <c r="E28" s="934">
        <f t="shared" si="6"/>
        <v>-10505</v>
      </c>
      <c r="F28" s="934"/>
      <c r="G28" s="934"/>
      <c r="H28" s="934"/>
      <c r="I28" s="934"/>
      <c r="J28" s="934">
        <f t="shared" si="6"/>
        <v>-11356</v>
      </c>
      <c r="K28" s="934"/>
      <c r="L28" s="934"/>
      <c r="M28" s="934"/>
      <c r="N28" s="934"/>
      <c r="O28" s="934">
        <f t="shared" si="6"/>
        <v>-10381</v>
      </c>
      <c r="P28" s="934"/>
      <c r="Q28" s="934"/>
      <c r="R28" s="934"/>
      <c r="S28" s="934"/>
      <c r="T28" s="934">
        <f t="shared" si="6"/>
        <v>-10667</v>
      </c>
      <c r="U28" s="934">
        <f t="shared" si="6"/>
        <v>-10263</v>
      </c>
      <c r="V28" s="934">
        <f t="shared" si="6"/>
        <v>-10487</v>
      </c>
      <c r="W28" s="935">
        <f>+W22-W16</f>
        <v>-10258</v>
      </c>
      <c r="X28" s="935">
        <f>+X22-X16</f>
        <v>-9348</v>
      </c>
    </row>
    <row r="29" spans="1:28">
      <c r="A29" s="1171"/>
      <c r="B29" s="1185"/>
      <c r="C29" s="1197"/>
      <c r="D29" s="987" t="s">
        <v>293</v>
      </c>
      <c r="E29" s="934">
        <f t="shared" si="6"/>
        <v>66558</v>
      </c>
      <c r="F29" s="934"/>
      <c r="G29" s="934"/>
      <c r="H29" s="934"/>
      <c r="I29" s="934"/>
      <c r="J29" s="934">
        <f t="shared" si="6"/>
        <v>68840</v>
      </c>
      <c r="K29" s="934"/>
      <c r="L29" s="934"/>
      <c r="M29" s="934"/>
      <c r="N29" s="934"/>
      <c r="O29" s="934">
        <f t="shared" si="6"/>
        <v>87038</v>
      </c>
      <c r="P29" s="934"/>
      <c r="Q29" s="934"/>
      <c r="R29" s="934"/>
      <c r="S29" s="934"/>
      <c r="T29" s="934">
        <f t="shared" si="6"/>
        <v>90720</v>
      </c>
      <c r="U29" s="934">
        <f t="shared" si="6"/>
        <v>86161</v>
      </c>
      <c r="V29" s="934">
        <f t="shared" si="6"/>
        <v>81418</v>
      </c>
      <c r="W29" s="935">
        <f t="shared" ref="W29" si="8">+W23-W17</f>
        <v>83976</v>
      </c>
      <c r="X29" s="935">
        <f>+X23-X17</f>
        <v>81110</v>
      </c>
    </row>
    <row r="30" spans="1:28">
      <c r="A30" s="1171"/>
      <c r="B30" s="1185"/>
      <c r="C30" s="1197"/>
      <c r="D30" s="987" t="s">
        <v>294</v>
      </c>
      <c r="E30" s="934">
        <f t="shared" si="6"/>
        <v>133784</v>
      </c>
      <c r="F30" s="934"/>
      <c r="G30" s="934"/>
      <c r="H30" s="934"/>
      <c r="I30" s="934"/>
      <c r="J30" s="934">
        <f t="shared" si="6"/>
        <v>137947</v>
      </c>
      <c r="K30" s="934"/>
      <c r="L30" s="934"/>
      <c r="M30" s="934"/>
      <c r="N30" s="934"/>
      <c r="O30" s="934">
        <f t="shared" si="6"/>
        <v>142396</v>
      </c>
      <c r="P30" s="934"/>
      <c r="Q30" s="934"/>
      <c r="R30" s="934"/>
      <c r="S30" s="934"/>
      <c r="T30" s="934">
        <f t="shared" si="6"/>
        <v>145213</v>
      </c>
      <c r="U30" s="934">
        <f t="shared" si="6"/>
        <v>146098</v>
      </c>
      <c r="V30" s="934">
        <f t="shared" si="6"/>
        <v>146083</v>
      </c>
      <c r="W30" s="935">
        <f t="shared" ref="W30" si="9">+W24-W18</f>
        <v>146481</v>
      </c>
      <c r="X30" s="935">
        <f>+X24-X18</f>
        <v>147190</v>
      </c>
    </row>
    <row r="31" spans="1:28">
      <c r="A31" s="1171"/>
      <c r="B31" s="1185"/>
      <c r="C31" s="1198"/>
      <c r="D31" s="987" t="s">
        <v>295</v>
      </c>
      <c r="E31" s="936">
        <f t="shared" si="6"/>
        <v>59859</v>
      </c>
      <c r="F31" s="936"/>
      <c r="G31" s="936"/>
      <c r="H31" s="936"/>
      <c r="I31" s="936"/>
      <c r="J31" s="936">
        <f t="shared" si="6"/>
        <v>66423</v>
      </c>
      <c r="K31" s="936"/>
      <c r="L31" s="936"/>
      <c r="M31" s="936"/>
      <c r="N31" s="936"/>
      <c r="O31" s="936">
        <f t="shared" si="6"/>
        <v>72194</v>
      </c>
      <c r="P31" s="936"/>
      <c r="Q31" s="936"/>
      <c r="R31" s="936"/>
      <c r="S31" s="936"/>
      <c r="T31" s="936">
        <f t="shared" si="6"/>
        <v>74172</v>
      </c>
      <c r="U31" s="936">
        <f t="shared" si="6"/>
        <v>74933</v>
      </c>
      <c r="V31" s="936">
        <f t="shared" si="6"/>
        <v>74833</v>
      </c>
      <c r="W31" s="937">
        <f t="shared" ref="W31" si="10">+W25-W19</f>
        <v>74455</v>
      </c>
      <c r="X31" s="937">
        <f>+X25-X19</f>
        <v>75629</v>
      </c>
    </row>
    <row r="32" spans="1:28" ht="14.5" customHeight="1">
      <c r="A32" s="1171"/>
      <c r="B32" s="1185"/>
      <c r="C32" s="1215" t="s">
        <v>289</v>
      </c>
      <c r="D32" s="41" t="s">
        <v>291</v>
      </c>
      <c r="E32" s="938">
        <f>(E21/E9)*100</f>
        <v>52.996788557515508</v>
      </c>
      <c r="F32" s="938"/>
      <c r="G32" s="938"/>
      <c r="H32" s="938"/>
      <c r="I32" s="938"/>
      <c r="J32" s="938">
        <f t="shared" ref="J32:V32" si="11">(J21/J9)*100</f>
        <v>52.975539796170047</v>
      </c>
      <c r="K32" s="938"/>
      <c r="L32" s="938"/>
      <c r="M32" s="938"/>
      <c r="N32" s="938"/>
      <c r="O32" s="938">
        <f t="shared" si="11"/>
        <v>53.485894771818252</v>
      </c>
      <c r="P32" s="938"/>
      <c r="Q32" s="938"/>
      <c r="R32" s="938"/>
      <c r="S32" s="938"/>
      <c r="T32" s="938">
        <f t="shared" si="11"/>
        <v>53.37757479616041</v>
      </c>
      <c r="U32" s="938">
        <f t="shared" si="11"/>
        <v>53.351075231484977</v>
      </c>
      <c r="V32" s="938">
        <f t="shared" si="11"/>
        <v>53.301434707919462</v>
      </c>
      <c r="W32" s="939">
        <f t="shared" ref="W32:X32" si="12">(W21/W9)*100</f>
        <v>53.296460316096351</v>
      </c>
      <c r="X32" s="939">
        <f t="shared" si="12"/>
        <v>53.163640650994324</v>
      </c>
    </row>
    <row r="33" spans="1:28">
      <c r="A33" s="1171"/>
      <c r="B33" s="1185"/>
      <c r="C33" s="1216"/>
      <c r="D33" s="987" t="s">
        <v>292</v>
      </c>
      <c r="E33" s="940">
        <f t="shared" ref="E33:V36" si="13">(E22/E10)*100</f>
        <v>48.77954704407572</v>
      </c>
      <c r="F33" s="940"/>
      <c r="G33" s="940"/>
      <c r="H33" s="940"/>
      <c r="I33" s="940"/>
      <c r="J33" s="940">
        <f t="shared" si="13"/>
        <v>48.781236450431656</v>
      </c>
      <c r="K33" s="940"/>
      <c r="L33" s="940"/>
      <c r="M33" s="940"/>
      <c r="N33" s="940"/>
      <c r="O33" s="940">
        <f t="shared" si="13"/>
        <v>48.861065580065521</v>
      </c>
      <c r="P33" s="940"/>
      <c r="Q33" s="940"/>
      <c r="R33" s="940"/>
      <c r="S33" s="940"/>
      <c r="T33" s="940">
        <f t="shared" si="13"/>
        <v>48.855818303903753</v>
      </c>
      <c r="U33" s="940">
        <f t="shared" si="13"/>
        <v>48.874461248258996</v>
      </c>
      <c r="V33" s="940">
        <f t="shared" si="13"/>
        <v>48.82271981247937</v>
      </c>
      <c r="W33" s="941">
        <f t="shared" ref="W33:X33" si="14">(W22/W10)*100</f>
        <v>48.844746966024886</v>
      </c>
      <c r="X33" s="941">
        <f t="shared" si="14"/>
        <v>48.882486551105799</v>
      </c>
    </row>
    <row r="34" spans="1:28">
      <c r="A34" s="1171"/>
      <c r="B34" s="1185"/>
      <c r="C34" s="1216"/>
      <c r="D34" s="987" t="s">
        <v>293</v>
      </c>
      <c r="E34" s="940">
        <f t="shared" si="13"/>
        <v>51.549968422170437</v>
      </c>
      <c r="F34" s="940"/>
      <c r="G34" s="940"/>
      <c r="H34" s="940"/>
      <c r="I34" s="940"/>
      <c r="J34" s="940">
        <f t="shared" si="13"/>
        <v>51.56321530043526</v>
      </c>
      <c r="K34" s="940"/>
      <c r="L34" s="940"/>
      <c r="M34" s="940"/>
      <c r="N34" s="940"/>
      <c r="O34" s="940">
        <f t="shared" si="13"/>
        <v>52.130781689740871</v>
      </c>
      <c r="P34" s="940"/>
      <c r="Q34" s="940"/>
      <c r="R34" s="940"/>
      <c r="S34" s="940"/>
      <c r="T34" s="940">
        <f t="shared" si="13"/>
        <v>52.062243753938311</v>
      </c>
      <c r="U34" s="940">
        <f t="shared" si="13"/>
        <v>51.964454188575381</v>
      </c>
      <c r="V34" s="940">
        <f t="shared" si="13"/>
        <v>51.871960461163802</v>
      </c>
      <c r="W34" s="941">
        <f t="shared" ref="W34:X34" si="15">(W23/W11)*100</f>
        <v>51.890217221018744</v>
      </c>
      <c r="X34" s="941">
        <f t="shared" si="15"/>
        <v>51.724830153884369</v>
      </c>
    </row>
    <row r="35" spans="1:28">
      <c r="A35" s="1171"/>
      <c r="B35" s="1185"/>
      <c r="C35" s="1216"/>
      <c r="D35" s="987" t="s">
        <v>294</v>
      </c>
      <c r="E35" s="940">
        <f t="shared" si="13"/>
        <v>61.340048891797224</v>
      </c>
      <c r="F35" s="940"/>
      <c r="G35" s="940"/>
      <c r="H35" s="940"/>
      <c r="I35" s="940"/>
      <c r="J35" s="940">
        <f t="shared" si="13"/>
        <v>61.191237626091763</v>
      </c>
      <c r="K35" s="940"/>
      <c r="L35" s="940"/>
      <c r="M35" s="940"/>
      <c r="N35" s="940"/>
      <c r="O35" s="940">
        <f t="shared" si="13"/>
        <v>61.057959624888561</v>
      </c>
      <c r="P35" s="940"/>
      <c r="Q35" s="940"/>
      <c r="R35" s="940"/>
      <c r="S35" s="940"/>
      <c r="T35" s="940">
        <f t="shared" si="13"/>
        <v>60.852292005147646</v>
      </c>
      <c r="U35" s="940">
        <f t="shared" si="13"/>
        <v>61.011404987081583</v>
      </c>
      <c r="V35" s="940">
        <f t="shared" si="13"/>
        <v>60.957337169722727</v>
      </c>
      <c r="W35" s="941">
        <f t="shared" ref="W35:X35" si="16">(W24/W12)*100</f>
        <v>60.85644363477892</v>
      </c>
      <c r="X35" s="941">
        <f t="shared" si="16"/>
        <v>60.650629819158539</v>
      </c>
    </row>
    <row r="36" spans="1:28">
      <c r="A36" s="1171"/>
      <c r="B36" s="1186"/>
      <c r="C36" s="1217"/>
      <c r="D36" s="987" t="s">
        <v>295</v>
      </c>
      <c r="E36" s="942">
        <f t="shared" si="13"/>
        <v>69.068598405932832</v>
      </c>
      <c r="F36" s="942"/>
      <c r="G36" s="942"/>
      <c r="H36" s="942"/>
      <c r="I36" s="942"/>
      <c r="J36" s="942">
        <f t="shared" si="13"/>
        <v>67.506918636830875</v>
      </c>
      <c r="K36" s="942"/>
      <c r="L36" s="942"/>
      <c r="M36" s="942"/>
      <c r="N36" s="942"/>
      <c r="O36" s="942">
        <f t="shared" si="13"/>
        <v>66.008248702824957</v>
      </c>
      <c r="P36" s="942"/>
      <c r="Q36" s="942"/>
      <c r="R36" s="942"/>
      <c r="S36" s="942"/>
      <c r="T36" s="942">
        <f t="shared" si="13"/>
        <v>65.744026898062458</v>
      </c>
      <c r="U36" s="942">
        <f t="shared" si="13"/>
        <v>65.968673415023972</v>
      </c>
      <c r="V36" s="942">
        <f t="shared" si="13"/>
        <v>66.034153971416941</v>
      </c>
      <c r="W36" s="943">
        <f t="shared" ref="W36:X36" si="17">(W25/W13)*100</f>
        <v>65.951931028867946</v>
      </c>
      <c r="X36" s="943">
        <f t="shared" si="17"/>
        <v>65.785178475268935</v>
      </c>
    </row>
    <row r="37" spans="1:28">
      <c r="A37" s="1171"/>
      <c r="B37" s="98" t="s">
        <v>246</v>
      </c>
      <c r="C37" s="1169"/>
      <c r="D37" s="1169"/>
      <c r="E37" s="96">
        <v>2005</v>
      </c>
      <c r="F37" s="96">
        <v>2006</v>
      </c>
      <c r="G37" s="96">
        <v>2007</v>
      </c>
      <c r="H37" s="96">
        <v>2008</v>
      </c>
      <c r="I37" s="96">
        <v>2009</v>
      </c>
      <c r="J37" s="96">
        <v>2010</v>
      </c>
      <c r="K37" s="96">
        <v>2011</v>
      </c>
      <c r="L37" s="96">
        <v>2012</v>
      </c>
      <c r="M37" s="96">
        <v>2013</v>
      </c>
      <c r="N37" s="96">
        <v>2014</v>
      </c>
      <c r="O37" s="96">
        <v>2015</v>
      </c>
      <c r="P37" s="96">
        <v>2016</v>
      </c>
      <c r="Q37" s="96">
        <v>2017</v>
      </c>
      <c r="R37" s="96">
        <v>2018</v>
      </c>
      <c r="S37" s="96">
        <v>2019</v>
      </c>
      <c r="T37" s="96">
        <v>2020</v>
      </c>
      <c r="U37" s="96">
        <v>2021</v>
      </c>
      <c r="V37" s="96">
        <v>2022</v>
      </c>
      <c r="W37" s="15">
        <v>2023</v>
      </c>
      <c r="X37" s="15">
        <v>2024</v>
      </c>
    </row>
    <row r="38" spans="1:28">
      <c r="A38" s="1171"/>
      <c r="B38" s="1189" t="s">
        <v>297</v>
      </c>
      <c r="C38" s="1219" t="s">
        <v>291</v>
      </c>
      <c r="D38" s="1220"/>
      <c r="E38" s="944">
        <f>SUM(E39:E40)</f>
        <v>452616</v>
      </c>
      <c r="F38" s="944"/>
      <c r="G38" s="944"/>
      <c r="H38" s="944"/>
      <c r="I38" s="944"/>
      <c r="J38" s="944">
        <f t="shared" ref="J38:V38" si="18">SUM(J39:J40)</f>
        <v>569352</v>
      </c>
      <c r="K38" s="944"/>
      <c r="L38" s="944"/>
      <c r="M38" s="944"/>
      <c r="N38" s="944"/>
      <c r="O38" s="944">
        <f t="shared" si="18"/>
        <v>379233</v>
      </c>
      <c r="P38" s="944"/>
      <c r="Q38" s="944"/>
      <c r="R38" s="944"/>
      <c r="S38" s="944"/>
      <c r="T38" s="944">
        <f t="shared" si="18"/>
        <v>510881</v>
      </c>
      <c r="U38" s="944">
        <f t="shared" si="18"/>
        <v>523994</v>
      </c>
      <c r="V38" s="944">
        <f t="shared" si="18"/>
        <v>517243</v>
      </c>
      <c r="W38" s="945">
        <f t="shared" ref="W38" si="19">SUM(W39:W40)</f>
        <v>570418</v>
      </c>
      <c r="X38" s="945">
        <v>657039</v>
      </c>
      <c r="Y38" s="665"/>
      <c r="Z38" s="137"/>
      <c r="AA38" s="137"/>
      <c r="AB38" s="137"/>
    </row>
    <row r="39" spans="1:28">
      <c r="A39" s="1171"/>
      <c r="B39" s="1190"/>
      <c r="C39" s="1182" t="s">
        <v>258</v>
      </c>
      <c r="D39" s="1183"/>
      <c r="E39" s="349">
        <v>221882</v>
      </c>
      <c r="F39" s="349"/>
      <c r="G39" s="349"/>
      <c r="H39" s="349"/>
      <c r="I39" s="349"/>
      <c r="J39" s="349">
        <v>280916</v>
      </c>
      <c r="K39" s="349"/>
      <c r="L39" s="349"/>
      <c r="M39" s="349"/>
      <c r="N39" s="349"/>
      <c r="O39" s="349">
        <v>177205</v>
      </c>
      <c r="P39" s="349"/>
      <c r="Q39" s="349"/>
      <c r="R39" s="349"/>
      <c r="S39" s="349"/>
      <c r="T39" s="349">
        <v>236256</v>
      </c>
      <c r="U39" s="349">
        <v>243712</v>
      </c>
      <c r="V39" s="349">
        <v>241663</v>
      </c>
      <c r="W39" s="350">
        <v>266900</v>
      </c>
      <c r="X39" s="350">
        <v>310481</v>
      </c>
      <c r="Y39" s="665"/>
      <c r="Z39" s="137"/>
      <c r="AA39" s="137"/>
      <c r="AB39" s="137"/>
    </row>
    <row r="40" spans="1:28">
      <c r="A40" s="1171"/>
      <c r="B40" s="1190"/>
      <c r="C40" s="1211" t="s">
        <v>259</v>
      </c>
      <c r="D40" s="1212"/>
      <c r="E40" s="946">
        <v>230734</v>
      </c>
      <c r="F40" s="946"/>
      <c r="G40" s="946"/>
      <c r="H40" s="946"/>
      <c r="I40" s="946"/>
      <c r="J40" s="946">
        <v>288436</v>
      </c>
      <c r="K40" s="946"/>
      <c r="L40" s="946"/>
      <c r="M40" s="946"/>
      <c r="N40" s="946"/>
      <c r="O40" s="946">
        <v>202028</v>
      </c>
      <c r="P40" s="946"/>
      <c r="Q40" s="946"/>
      <c r="R40" s="946"/>
      <c r="S40" s="946"/>
      <c r="T40" s="946">
        <v>274625</v>
      </c>
      <c r="U40" s="946">
        <v>280282</v>
      </c>
      <c r="V40" s="946">
        <v>275580</v>
      </c>
      <c r="W40" s="947">
        <v>303518</v>
      </c>
      <c r="X40" s="350">
        <v>346558</v>
      </c>
      <c r="Y40" s="665"/>
      <c r="Z40" s="137"/>
      <c r="AA40" s="137"/>
      <c r="AB40" s="137"/>
    </row>
    <row r="41" spans="1:28">
      <c r="A41" s="1172"/>
      <c r="B41" s="1190"/>
      <c r="C41" s="1195" t="s">
        <v>288</v>
      </c>
      <c r="D41" s="1194"/>
      <c r="E41" s="934">
        <f>+E40-E39</f>
        <v>8852</v>
      </c>
      <c r="F41" s="934"/>
      <c r="G41" s="934"/>
      <c r="H41" s="934"/>
      <c r="I41" s="934"/>
      <c r="J41" s="934">
        <f t="shared" ref="J41:V41" si="20">+J40-J39</f>
        <v>7520</v>
      </c>
      <c r="K41" s="934"/>
      <c r="L41" s="934"/>
      <c r="M41" s="934"/>
      <c r="N41" s="934"/>
      <c r="O41" s="934">
        <f t="shared" si="20"/>
        <v>24823</v>
      </c>
      <c r="P41" s="924"/>
      <c r="Q41" s="924"/>
      <c r="R41" s="924"/>
      <c r="S41" s="924"/>
      <c r="T41" s="934">
        <f t="shared" si="20"/>
        <v>38369</v>
      </c>
      <c r="U41" s="934">
        <f t="shared" si="20"/>
        <v>36570</v>
      </c>
      <c r="V41" s="934">
        <f t="shared" si="20"/>
        <v>33917</v>
      </c>
      <c r="W41" s="935">
        <f t="shared" ref="W41:X41" si="21">+W40-W39</f>
        <v>36618</v>
      </c>
      <c r="X41" s="935">
        <f t="shared" si="21"/>
        <v>36077</v>
      </c>
    </row>
    <row r="42" spans="1:28" ht="15.75" customHeight="1" thickBot="1">
      <c r="A42" s="1173"/>
      <c r="B42" s="1191"/>
      <c r="C42" s="1181" t="s">
        <v>289</v>
      </c>
      <c r="D42" s="1181"/>
      <c r="E42" s="927">
        <f>(E40/E38)*100</f>
        <v>50.97787086625307</v>
      </c>
      <c r="F42" s="927"/>
      <c r="G42" s="927"/>
      <c r="H42" s="927"/>
      <c r="I42" s="927"/>
      <c r="J42" s="927">
        <f t="shared" ref="J42:V42" si="22">(J40/J38)*100</f>
        <v>50.660399893211924</v>
      </c>
      <c r="K42" s="927"/>
      <c r="L42" s="927"/>
      <c r="M42" s="927"/>
      <c r="N42" s="927"/>
      <c r="O42" s="927">
        <f t="shared" si="22"/>
        <v>53.272790078922462</v>
      </c>
      <c r="P42" s="927"/>
      <c r="Q42" s="927"/>
      <c r="R42" s="927"/>
      <c r="S42" s="927"/>
      <c r="T42" s="927">
        <f t="shared" si="22"/>
        <v>53.755179777678165</v>
      </c>
      <c r="U42" s="927">
        <f t="shared" si="22"/>
        <v>53.489543773401984</v>
      </c>
      <c r="V42" s="927">
        <f t="shared" si="22"/>
        <v>53.278633060283077</v>
      </c>
      <c r="W42" s="928">
        <f t="shared" ref="W42:X42" si="23">(W40/W38)*100</f>
        <v>53.209751445431245</v>
      </c>
      <c r="X42" s="928">
        <f t="shared" si="23"/>
        <v>52.745423026639216</v>
      </c>
    </row>
    <row r="43" spans="1:28" ht="15" thickBot="1">
      <c r="A43" s="6" t="s">
        <v>285</v>
      </c>
      <c r="B43" s="99" t="s">
        <v>246</v>
      </c>
      <c r="C43" s="1169"/>
      <c r="D43" s="1169"/>
      <c r="E43" s="96">
        <v>2005</v>
      </c>
      <c r="F43" s="96">
        <v>2006</v>
      </c>
      <c r="G43" s="96">
        <v>2007</v>
      </c>
      <c r="H43" s="96">
        <v>2008</v>
      </c>
      <c r="I43" s="96">
        <v>2009</v>
      </c>
      <c r="J43" s="96">
        <v>2010</v>
      </c>
      <c r="K43" s="96">
        <v>2011</v>
      </c>
      <c r="L43" s="96">
        <v>2012</v>
      </c>
      <c r="M43" s="96">
        <v>2013</v>
      </c>
      <c r="N43" s="96">
        <v>2014</v>
      </c>
      <c r="O43" s="96">
        <v>2015</v>
      </c>
      <c r="P43" s="96">
        <v>2016</v>
      </c>
      <c r="Q43" s="96">
        <v>2017</v>
      </c>
      <c r="R43" s="96">
        <v>2018</v>
      </c>
      <c r="S43" s="96">
        <v>2019</v>
      </c>
      <c r="T43" s="96">
        <v>2020</v>
      </c>
      <c r="U43" s="96">
        <v>2021</v>
      </c>
      <c r="V43" s="96">
        <v>2022</v>
      </c>
      <c r="W43" s="15">
        <v>2023</v>
      </c>
      <c r="X43" s="15">
        <v>2024</v>
      </c>
    </row>
    <row r="44" spans="1:28" ht="13.15" customHeight="1">
      <c r="A44" s="1170" t="s">
        <v>298</v>
      </c>
      <c r="B44" s="1166" t="s">
        <v>299</v>
      </c>
      <c r="C44" s="1213" t="s">
        <v>300</v>
      </c>
      <c r="D44" s="1214"/>
      <c r="E44" s="949">
        <f>SUM(E45:E46)</f>
        <v>128263</v>
      </c>
      <c r="F44" s="949"/>
      <c r="G44" s="949"/>
      <c r="H44" s="949"/>
      <c r="I44" s="949"/>
      <c r="J44" s="949">
        <f t="shared" ref="J44:U44" si="24">SUM(J45:J46)</f>
        <v>140617</v>
      </c>
      <c r="K44" s="949"/>
      <c r="L44" s="949"/>
      <c r="M44" s="949"/>
      <c r="N44" s="949"/>
      <c r="O44" s="949">
        <f t="shared" si="24"/>
        <v>155673</v>
      </c>
      <c r="P44" s="949"/>
      <c r="Q44" s="949"/>
      <c r="R44" s="949"/>
      <c r="S44" s="949"/>
      <c r="T44" s="949">
        <f t="shared" si="24"/>
        <v>164233</v>
      </c>
      <c r="U44" s="949">
        <f t="shared" si="24"/>
        <v>167689</v>
      </c>
      <c r="V44" s="949">
        <v>170239</v>
      </c>
      <c r="W44" s="950">
        <v>172767</v>
      </c>
      <c r="X44" s="950">
        <f>X46+X45</f>
        <v>179192</v>
      </c>
    </row>
    <row r="45" spans="1:28" ht="15" customHeight="1">
      <c r="A45" s="1171"/>
      <c r="B45" s="1167"/>
      <c r="C45" s="1182" t="s">
        <v>301</v>
      </c>
      <c r="D45" s="1183"/>
      <c r="E45" s="349">
        <v>23089</v>
      </c>
      <c r="F45" s="349"/>
      <c r="G45" s="349"/>
      <c r="H45" s="349"/>
      <c r="I45" s="349"/>
      <c r="J45" s="349">
        <v>27723</v>
      </c>
      <c r="K45" s="349"/>
      <c r="L45" s="349"/>
      <c r="M45" s="349"/>
      <c r="N45" s="349"/>
      <c r="O45" s="349">
        <v>33395</v>
      </c>
      <c r="P45" s="349"/>
      <c r="Q45" s="349"/>
      <c r="R45" s="349"/>
      <c r="S45" s="349"/>
      <c r="T45" s="349">
        <v>37538</v>
      </c>
      <c r="U45" s="349">
        <v>38397</v>
      </c>
      <c r="V45" s="349">
        <v>39490</v>
      </c>
      <c r="W45" s="350">
        <v>40617</v>
      </c>
      <c r="X45" s="350">
        <v>43524</v>
      </c>
    </row>
    <row r="46" spans="1:28" ht="14.5" customHeight="1">
      <c r="A46" s="1171"/>
      <c r="B46" s="1167"/>
      <c r="C46" s="1182" t="s">
        <v>302</v>
      </c>
      <c r="D46" s="1183"/>
      <c r="E46" s="349">
        <v>105174</v>
      </c>
      <c r="F46" s="349"/>
      <c r="G46" s="349"/>
      <c r="H46" s="349"/>
      <c r="I46" s="349"/>
      <c r="J46" s="349">
        <v>112894</v>
      </c>
      <c r="K46" s="349"/>
      <c r="L46" s="349"/>
      <c r="M46" s="349"/>
      <c r="N46" s="349"/>
      <c r="O46" s="349">
        <v>122278</v>
      </c>
      <c r="P46" s="349"/>
      <c r="Q46" s="349"/>
      <c r="R46" s="349"/>
      <c r="S46" s="349"/>
      <c r="T46" s="349">
        <v>126695</v>
      </c>
      <c r="U46" s="349">
        <v>129292</v>
      </c>
      <c r="V46" s="349">
        <v>130749</v>
      </c>
      <c r="W46" s="350">
        <v>132150</v>
      </c>
      <c r="X46" s="350">
        <v>135668</v>
      </c>
    </row>
    <row r="47" spans="1:28" ht="14.5" customHeight="1">
      <c r="A47" s="1171"/>
      <c r="B47" s="1167"/>
      <c r="C47" s="1195" t="s">
        <v>288</v>
      </c>
      <c r="D47" s="1194"/>
      <c r="E47" s="951">
        <f>+E46-E45</f>
        <v>82085</v>
      </c>
      <c r="F47" s="951"/>
      <c r="G47" s="951"/>
      <c r="H47" s="951"/>
      <c r="I47" s="951"/>
      <c r="J47" s="951">
        <f t="shared" ref="J47:V47" si="25">+J46-J45</f>
        <v>85171</v>
      </c>
      <c r="K47" s="951"/>
      <c r="L47" s="951"/>
      <c r="M47" s="951"/>
      <c r="N47" s="951"/>
      <c r="O47" s="951">
        <f t="shared" si="25"/>
        <v>88883</v>
      </c>
      <c r="P47" s="951"/>
      <c r="Q47" s="951"/>
      <c r="R47" s="951"/>
      <c r="S47" s="951"/>
      <c r="T47" s="951">
        <f t="shared" si="25"/>
        <v>89157</v>
      </c>
      <c r="U47" s="951">
        <f t="shared" si="25"/>
        <v>90895</v>
      </c>
      <c r="V47" s="951">
        <f t="shared" si="25"/>
        <v>91259</v>
      </c>
      <c r="W47" s="952">
        <f t="shared" ref="W47:X47" si="26">+W46-W45</f>
        <v>91533</v>
      </c>
      <c r="X47" s="952">
        <f t="shared" si="26"/>
        <v>92144</v>
      </c>
    </row>
    <row r="48" spans="1:28" ht="14.5" customHeight="1" thickBot="1">
      <c r="A48" s="1171"/>
      <c r="B48" s="1168"/>
      <c r="C48" s="1181" t="s">
        <v>303</v>
      </c>
      <c r="D48" s="1181"/>
      <c r="E48" s="953">
        <f>(E46/E44)*100</f>
        <v>81.998705784209008</v>
      </c>
      <c r="F48" s="953"/>
      <c r="G48" s="953"/>
      <c r="H48" s="953"/>
      <c r="I48" s="953"/>
      <c r="J48" s="953">
        <f t="shared" ref="J48:V48" si="27">(J46/J44)*100</f>
        <v>80.284745087720538</v>
      </c>
      <c r="K48" s="953"/>
      <c r="L48" s="953"/>
      <c r="M48" s="953"/>
      <c r="N48" s="953"/>
      <c r="O48" s="953">
        <f t="shared" si="27"/>
        <v>78.547981987884867</v>
      </c>
      <c r="P48" s="953"/>
      <c r="Q48" s="953"/>
      <c r="R48" s="953"/>
      <c r="S48" s="953"/>
      <c r="T48" s="953">
        <f t="shared" si="27"/>
        <v>77.143448636997434</v>
      </c>
      <c r="U48" s="953">
        <f t="shared" si="27"/>
        <v>77.102254769245448</v>
      </c>
      <c r="V48" s="953">
        <f t="shared" si="27"/>
        <v>76.803200206768125</v>
      </c>
      <c r="W48" s="954">
        <f t="shared" ref="W48:X48" si="28">(W46/W44)*100</f>
        <v>76.490301967389613</v>
      </c>
      <c r="X48" s="954">
        <f t="shared" si="28"/>
        <v>75.710969239698201</v>
      </c>
    </row>
    <row r="49" spans="1:24" ht="15" thickBot="1">
      <c r="A49" s="1171"/>
      <c r="B49" s="98" t="s">
        <v>246</v>
      </c>
      <c r="C49" s="1169"/>
      <c r="D49" s="1169"/>
      <c r="E49" s="96">
        <v>2005</v>
      </c>
      <c r="F49" s="96">
        <v>2006</v>
      </c>
      <c r="G49" s="96">
        <v>2007</v>
      </c>
      <c r="H49" s="96">
        <v>2008</v>
      </c>
      <c r="I49" s="96">
        <v>2009</v>
      </c>
      <c r="J49" s="96">
        <v>2010</v>
      </c>
      <c r="K49" s="96">
        <v>2011</v>
      </c>
      <c r="L49" s="96">
        <v>2012</v>
      </c>
      <c r="M49" s="96">
        <v>2013</v>
      </c>
      <c r="N49" s="96">
        <v>2014</v>
      </c>
      <c r="O49" s="96">
        <v>2015</v>
      </c>
      <c r="P49" s="96">
        <v>2016</v>
      </c>
      <c r="Q49" s="96">
        <v>2017</v>
      </c>
      <c r="R49" s="96">
        <v>2018</v>
      </c>
      <c r="S49" s="96">
        <v>2019</v>
      </c>
      <c r="T49" s="96">
        <v>2020</v>
      </c>
      <c r="U49" s="96">
        <v>2021</v>
      </c>
      <c r="V49" s="96">
        <v>2022</v>
      </c>
      <c r="W49" s="15">
        <v>2023</v>
      </c>
      <c r="X49" s="15">
        <v>2024</v>
      </c>
    </row>
    <row r="50" spans="1:24" ht="14.5" customHeight="1">
      <c r="A50" s="1171"/>
      <c r="B50" s="1166" t="s">
        <v>304</v>
      </c>
      <c r="C50" s="1209" t="s">
        <v>305</v>
      </c>
      <c r="D50" s="1210"/>
      <c r="E50" s="955">
        <f>+E51+E52</f>
        <v>21853</v>
      </c>
      <c r="F50" s="955"/>
      <c r="G50" s="955"/>
      <c r="H50" s="955"/>
      <c r="I50" s="955"/>
      <c r="J50" s="951">
        <f>+J51+J52</f>
        <v>27241</v>
      </c>
      <c r="K50" s="951"/>
      <c r="L50" s="951"/>
      <c r="M50" s="951"/>
      <c r="N50" s="951"/>
      <c r="O50" s="951">
        <f>+O51+O52</f>
        <v>31923</v>
      </c>
      <c r="P50" s="951"/>
      <c r="Q50" s="951"/>
      <c r="R50" s="951"/>
      <c r="S50" s="951"/>
      <c r="T50" s="951">
        <f>+T51+T52</f>
        <v>31560</v>
      </c>
      <c r="U50" s="951">
        <f>+U51+U52</f>
        <v>31236</v>
      </c>
      <c r="V50" s="951">
        <v>31582</v>
      </c>
      <c r="W50" s="952">
        <v>31456</v>
      </c>
      <c r="X50" s="952">
        <f>X51+X52</f>
        <v>32224</v>
      </c>
    </row>
    <row r="51" spans="1:24">
      <c r="A51" s="1171"/>
      <c r="B51" s="1167"/>
      <c r="C51" s="1199" t="s">
        <v>306</v>
      </c>
      <c r="D51" s="1183"/>
      <c r="E51" s="956">
        <v>4288</v>
      </c>
      <c r="F51" s="956"/>
      <c r="G51" s="956"/>
      <c r="H51" s="956"/>
      <c r="I51" s="956"/>
      <c r="J51" s="349">
        <v>5140</v>
      </c>
      <c r="K51" s="349"/>
      <c r="L51" s="349"/>
      <c r="M51" s="349"/>
      <c r="N51" s="349"/>
      <c r="O51" s="349">
        <v>5566</v>
      </c>
      <c r="P51" s="349"/>
      <c r="Q51" s="349"/>
      <c r="R51" s="349"/>
      <c r="S51" s="349"/>
      <c r="T51" s="349">
        <v>5328</v>
      </c>
      <c r="U51" s="349">
        <v>5236</v>
      </c>
      <c r="V51" s="349">
        <v>5331</v>
      </c>
      <c r="W51" s="350">
        <v>5363</v>
      </c>
      <c r="X51" s="350">
        <v>5479</v>
      </c>
    </row>
    <row r="52" spans="1:24">
      <c r="A52" s="1171"/>
      <c r="B52" s="1167"/>
      <c r="C52" s="1199" t="s">
        <v>307</v>
      </c>
      <c r="D52" s="1183"/>
      <c r="E52" s="956">
        <v>17565</v>
      </c>
      <c r="F52" s="956"/>
      <c r="G52" s="956"/>
      <c r="H52" s="956"/>
      <c r="I52" s="956"/>
      <c r="J52" s="349">
        <v>22101</v>
      </c>
      <c r="K52" s="349"/>
      <c r="L52" s="349"/>
      <c r="M52" s="349"/>
      <c r="N52" s="349"/>
      <c r="O52" s="349">
        <v>26357</v>
      </c>
      <c r="P52" s="349"/>
      <c r="Q52" s="349"/>
      <c r="R52" s="349"/>
      <c r="S52" s="349"/>
      <c r="T52" s="349">
        <v>26232</v>
      </c>
      <c r="U52" s="349">
        <v>26000</v>
      </c>
      <c r="V52" s="349">
        <v>26251</v>
      </c>
      <c r="W52" s="350">
        <v>26093</v>
      </c>
      <c r="X52" s="350">
        <v>26745</v>
      </c>
    </row>
    <row r="53" spans="1:24">
      <c r="A53" s="1171"/>
      <c r="B53" s="1167"/>
      <c r="C53" s="1193" t="s">
        <v>288</v>
      </c>
      <c r="D53" s="1194"/>
      <c r="E53" s="955">
        <f>+E52-E51</f>
        <v>13277</v>
      </c>
      <c r="F53" s="955"/>
      <c r="G53" s="955"/>
      <c r="H53" s="955"/>
      <c r="I53" s="955"/>
      <c r="J53" s="951">
        <f t="shared" ref="J53:V53" si="29">+J52-J51</f>
        <v>16961</v>
      </c>
      <c r="K53" s="951"/>
      <c r="L53" s="951"/>
      <c r="M53" s="951"/>
      <c r="N53" s="951"/>
      <c r="O53" s="951">
        <f t="shared" si="29"/>
        <v>20791</v>
      </c>
      <c r="P53" s="951"/>
      <c r="Q53" s="951"/>
      <c r="R53" s="951"/>
      <c r="S53" s="951"/>
      <c r="T53" s="951">
        <f t="shared" si="29"/>
        <v>20904</v>
      </c>
      <c r="U53" s="951">
        <f t="shared" si="29"/>
        <v>20764</v>
      </c>
      <c r="V53" s="951">
        <f t="shared" si="29"/>
        <v>20920</v>
      </c>
      <c r="W53" s="952">
        <f t="shared" ref="W53:X53" si="30">+W52-W51</f>
        <v>20730</v>
      </c>
      <c r="X53" s="952">
        <f t="shared" si="30"/>
        <v>21266</v>
      </c>
    </row>
    <row r="54" spans="1:24" ht="15.75" customHeight="1" thickBot="1">
      <c r="A54" s="1173"/>
      <c r="B54" s="1168"/>
      <c r="C54" s="1218" t="s">
        <v>308</v>
      </c>
      <c r="D54" s="1218"/>
      <c r="E54" s="957">
        <f>(+E52/E50)*100</f>
        <v>80.377980140026537</v>
      </c>
      <c r="F54" s="957"/>
      <c r="G54" s="957"/>
      <c r="H54" s="957"/>
      <c r="I54" s="957"/>
      <c r="J54" s="958">
        <f t="shared" ref="J54:V54" si="31">(+J52/J50)*100</f>
        <v>81.131382842039571</v>
      </c>
      <c r="K54" s="958"/>
      <c r="L54" s="958"/>
      <c r="M54" s="958"/>
      <c r="N54" s="958"/>
      <c r="O54" s="958">
        <f t="shared" si="31"/>
        <v>82.564295335651423</v>
      </c>
      <c r="P54" s="958"/>
      <c r="Q54" s="958"/>
      <c r="R54" s="958"/>
      <c r="S54" s="958"/>
      <c r="T54" s="958">
        <f t="shared" si="31"/>
        <v>83.117870722433466</v>
      </c>
      <c r="U54" s="958">
        <f t="shared" si="31"/>
        <v>83.237290306057105</v>
      </c>
      <c r="V54" s="958">
        <f t="shared" si="31"/>
        <v>83.120131720600341</v>
      </c>
      <c r="W54" s="959">
        <f t="shared" ref="W54:X54" si="32">(+W52/W50)*100</f>
        <v>82.950788402848417</v>
      </c>
      <c r="X54" s="959">
        <f t="shared" si="32"/>
        <v>82.997144985104271</v>
      </c>
    </row>
    <row r="55" spans="1:24">
      <c r="A55" s="11"/>
      <c r="E55" s="647"/>
      <c r="F55" s="647"/>
      <c r="J55" s="137"/>
      <c r="T55" s="137"/>
      <c r="U55" s="137"/>
      <c r="V55" s="137"/>
      <c r="W55" s="137"/>
      <c r="X55" s="137"/>
    </row>
    <row r="56" spans="1:24">
      <c r="E56" s="647"/>
      <c r="F56" s="647"/>
      <c r="J56" s="137"/>
      <c r="T56" s="137"/>
      <c r="U56" s="137"/>
      <c r="V56" s="137"/>
      <c r="W56" s="137"/>
      <c r="X56" s="137"/>
    </row>
    <row r="57" spans="1:24">
      <c r="E57" s="137"/>
      <c r="J57" s="137"/>
    </row>
  </sheetData>
  <mergeCells count="38">
    <mergeCell ref="C2:D2"/>
    <mergeCell ref="C40:D40"/>
    <mergeCell ref="C44:D44"/>
    <mergeCell ref="C32:C36"/>
    <mergeCell ref="C54:D54"/>
    <mergeCell ref="C52:D52"/>
    <mergeCell ref="C48:D48"/>
    <mergeCell ref="C38:D38"/>
    <mergeCell ref="A1:X1"/>
    <mergeCell ref="C53:D53"/>
    <mergeCell ref="C49:D49"/>
    <mergeCell ref="C47:D47"/>
    <mergeCell ref="C27:C31"/>
    <mergeCell ref="C46:D46"/>
    <mergeCell ref="C51:D51"/>
    <mergeCell ref="C45:D45"/>
    <mergeCell ref="C41:D41"/>
    <mergeCell ref="B3:B7"/>
    <mergeCell ref="C3:D3"/>
    <mergeCell ref="C4:D4"/>
    <mergeCell ref="B50:B54"/>
    <mergeCell ref="C5:D5"/>
    <mergeCell ref="A44:A54"/>
    <mergeCell ref="C50:D50"/>
    <mergeCell ref="B44:B48"/>
    <mergeCell ref="C43:D43"/>
    <mergeCell ref="A3:A42"/>
    <mergeCell ref="C8:D8"/>
    <mergeCell ref="C9:C14"/>
    <mergeCell ref="C21:C26"/>
    <mergeCell ref="C42:D42"/>
    <mergeCell ref="C37:D37"/>
    <mergeCell ref="C39:D39"/>
    <mergeCell ref="B9:B36"/>
    <mergeCell ref="C7:D7"/>
    <mergeCell ref="C6:D6"/>
    <mergeCell ref="C15:C20"/>
    <mergeCell ref="B38:B42"/>
  </mergeCells>
  <hyperlinks>
    <hyperlink ref="Y1" location="INDICE!A7" display="SIGEM" xr:uid="{12BFA8DE-3998-4ACA-A001-8DE54DBB3483}"/>
    <hyperlink ref="B3:B7" location="INDICE!A6" display="2.1. Población total de mujeres y hombres (N)" xr:uid="{B5ED5DE9-BA37-4063-B2DF-2C3E85A7871B}"/>
    <hyperlink ref="B9:B36" location="INDICE!A6" display="2.2. Población por grandes grupos de edad: principales indicadores" xr:uid="{5CB25794-5BAD-4FE6-B995-66C965B03BE1}"/>
    <hyperlink ref="B38:B42" location="INDICE!A6" display="2.3. Población extranjera (N)" xr:uid="{86272663-188A-452B-9E8A-E208F247C797}"/>
    <hyperlink ref="B44:B48" location="INDICE!A6" display="2.4. Hogares Unipersonales (65 y más años)" xr:uid="{91181AB2-4799-4072-9F94-34AAE282CEEA}"/>
    <hyperlink ref="B50:B54" location="INDICE!A6" display="2.5. Hogares monoparentales y monomarentales" xr:uid="{F52433F1-C831-4944-804B-F81B01506A19}"/>
  </hyperlink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AC30-A9F8-46E0-821B-02BBEFD4445C}">
  <sheetPr>
    <tabColor theme="5" tint="0.59999389629810485"/>
  </sheetPr>
  <dimension ref="A1:Q2"/>
  <sheetViews>
    <sheetView showGridLines="0" zoomScale="80" zoomScaleNormal="80" workbookViewId="0">
      <selection activeCell="M7" sqref="M7"/>
    </sheetView>
  </sheetViews>
  <sheetFormatPr baseColWidth="10" defaultColWidth="11.453125" defaultRowHeight="14.5"/>
  <sheetData>
    <row r="1" spans="1:17" ht="32" thickTop="1" thickBot="1">
      <c r="A1" s="24" t="s">
        <v>284</v>
      </c>
      <c r="Q1" s="136" t="s">
        <v>245</v>
      </c>
    </row>
    <row r="2" spans="1:17" ht="15" thickTop="1"/>
  </sheetData>
  <hyperlinks>
    <hyperlink ref="Q1" location="INDICE!A7" display="SIGEM" xr:uid="{6D72992D-01A1-4308-A1BB-9D0A4D60DD5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E57D-D633-4A0C-A869-CDC3B54E959B}">
  <sheetPr>
    <tabColor theme="5" tint="0.59999389629810485"/>
  </sheetPr>
  <dimension ref="A1:D39"/>
  <sheetViews>
    <sheetView showGridLines="0" topLeftCell="A24" zoomScale="90" zoomScaleNormal="90" workbookViewId="0">
      <selection activeCell="E39" sqref="E39"/>
    </sheetView>
  </sheetViews>
  <sheetFormatPr baseColWidth="10" defaultColWidth="11.453125" defaultRowHeight="14.5"/>
  <cols>
    <col min="1" max="1" width="21.81640625" style="199" customWidth="1"/>
    <col min="2" max="2" width="136" style="199" customWidth="1"/>
    <col min="3" max="16384" width="11.453125" style="199"/>
  </cols>
  <sheetData>
    <row r="1" spans="1:4" ht="32" thickTop="1" thickBot="1">
      <c r="A1" s="602" t="s">
        <v>284</v>
      </c>
      <c r="B1" s="603"/>
      <c r="D1" s="136" t="s">
        <v>245</v>
      </c>
    </row>
    <row r="2" spans="1:4" ht="18" customHeight="1">
      <c r="A2" s="1159" t="s">
        <v>309</v>
      </c>
      <c r="B2" s="1160"/>
    </row>
    <row r="3" spans="1:4" ht="24.75" customHeight="1">
      <c r="A3" s="30" t="s">
        <v>263</v>
      </c>
      <c r="B3" s="30" t="s">
        <v>310</v>
      </c>
    </row>
    <row r="4" spans="1:4" ht="43.5">
      <c r="A4" s="30" t="s">
        <v>260</v>
      </c>
      <c r="B4" s="37" t="s">
        <v>311</v>
      </c>
    </row>
    <row r="5" spans="1:4">
      <c r="A5" s="30" t="s">
        <v>267</v>
      </c>
      <c r="B5" s="37" t="s">
        <v>312</v>
      </c>
    </row>
    <row r="6" spans="1:4">
      <c r="A6" s="30" t="s">
        <v>269</v>
      </c>
      <c r="B6" s="140" t="s">
        <v>313</v>
      </c>
    </row>
    <row r="7" spans="1:4">
      <c r="A7" s="30" t="s">
        <v>271</v>
      </c>
      <c r="B7" s="606" t="s">
        <v>314</v>
      </c>
    </row>
    <row r="8" spans="1:4">
      <c r="A8" s="30" t="s">
        <v>273</v>
      </c>
      <c r="B8" s="37" t="s">
        <v>315</v>
      </c>
      <c r="D8" s="199" t="s">
        <v>316</v>
      </c>
    </row>
    <row r="9" spans="1:4" ht="17.149999999999999" customHeight="1">
      <c r="A9" s="1161" t="s">
        <v>290</v>
      </c>
      <c r="B9" s="1162"/>
    </row>
    <row r="10" spans="1:4">
      <c r="A10" s="30" t="s">
        <v>263</v>
      </c>
      <c r="B10" s="37" t="s">
        <v>317</v>
      </c>
    </row>
    <row r="11" spans="1:4" ht="43.5">
      <c r="A11" s="30" t="s">
        <v>260</v>
      </c>
      <c r="B11" s="37" t="s">
        <v>318</v>
      </c>
    </row>
    <row r="12" spans="1:4">
      <c r="A12" s="645" t="s">
        <v>269</v>
      </c>
      <c r="B12" s="140" t="s">
        <v>319</v>
      </c>
    </row>
    <row r="13" spans="1:4">
      <c r="A13" s="591" t="s">
        <v>282</v>
      </c>
      <c r="B13" s="591" t="s">
        <v>320</v>
      </c>
    </row>
    <row r="14" spans="1:4">
      <c r="A14" s="30" t="s">
        <v>271</v>
      </c>
      <c r="B14" s="37" t="s">
        <v>314</v>
      </c>
    </row>
    <row r="15" spans="1:4">
      <c r="A15" s="30" t="s">
        <v>273</v>
      </c>
      <c r="B15" s="37" t="s">
        <v>315</v>
      </c>
    </row>
    <row r="16" spans="1:4" ht="18" customHeight="1">
      <c r="A16" s="1161" t="s">
        <v>321</v>
      </c>
      <c r="B16" s="1162"/>
    </row>
    <row r="17" spans="1:2">
      <c r="A17" s="30" t="s">
        <v>263</v>
      </c>
      <c r="B17" s="37" t="s">
        <v>322</v>
      </c>
    </row>
    <row r="18" spans="1:2" ht="57.65" customHeight="1">
      <c r="A18" s="30" t="s">
        <v>260</v>
      </c>
      <c r="B18" s="37" t="s">
        <v>323</v>
      </c>
    </row>
    <row r="19" spans="1:2">
      <c r="A19" s="30" t="s">
        <v>324</v>
      </c>
      <c r="B19" s="37" t="s">
        <v>312</v>
      </c>
    </row>
    <row r="20" spans="1:2">
      <c r="A20" s="1223" t="s">
        <v>269</v>
      </c>
      <c r="B20" s="604" t="s">
        <v>325</v>
      </c>
    </row>
    <row r="21" spans="1:2">
      <c r="A21" s="1224"/>
      <c r="B21" s="605" t="s">
        <v>326</v>
      </c>
    </row>
    <row r="22" spans="1:2">
      <c r="A22" s="30" t="s">
        <v>271</v>
      </c>
      <c r="B22" s="37" t="s">
        <v>327</v>
      </c>
    </row>
    <row r="23" spans="1:2">
      <c r="A23" s="30" t="s">
        <v>273</v>
      </c>
      <c r="B23" s="37" t="s">
        <v>315</v>
      </c>
    </row>
    <row r="24" spans="1:2" ht="18" customHeight="1">
      <c r="A24" s="1161" t="s">
        <v>328</v>
      </c>
      <c r="B24" s="1162"/>
    </row>
    <row r="25" spans="1:2" ht="18.75" customHeight="1">
      <c r="A25" s="30" t="s">
        <v>263</v>
      </c>
      <c r="B25" s="37" t="s">
        <v>329</v>
      </c>
    </row>
    <row r="26" spans="1:2" ht="72.5">
      <c r="A26" s="30" t="s">
        <v>260</v>
      </c>
      <c r="B26" s="37" t="s">
        <v>330</v>
      </c>
    </row>
    <row r="27" spans="1:2">
      <c r="A27" s="30" t="s">
        <v>324</v>
      </c>
      <c r="B27" s="37" t="s">
        <v>312</v>
      </c>
    </row>
    <row r="28" spans="1:2">
      <c r="A28" s="1221" t="s">
        <v>269</v>
      </c>
      <c r="B28" s="140" t="s">
        <v>325</v>
      </c>
    </row>
    <row r="29" spans="1:2">
      <c r="A29" s="1222"/>
      <c r="B29" s="140" t="s">
        <v>331</v>
      </c>
    </row>
    <row r="30" spans="1:2" ht="17.149999999999999" customHeight="1">
      <c r="A30" s="30" t="s">
        <v>271</v>
      </c>
      <c r="B30" s="37" t="s">
        <v>314</v>
      </c>
    </row>
    <row r="31" spans="1:2">
      <c r="A31" s="30" t="s">
        <v>273</v>
      </c>
      <c r="B31" s="37" t="s">
        <v>315</v>
      </c>
    </row>
    <row r="32" spans="1:2" ht="18" customHeight="1">
      <c r="A32" s="1161" t="s">
        <v>304</v>
      </c>
      <c r="B32" s="1162"/>
    </row>
    <row r="33" spans="1:2">
      <c r="A33" s="30" t="s">
        <v>263</v>
      </c>
      <c r="B33" s="37" t="s">
        <v>332</v>
      </c>
    </row>
    <row r="34" spans="1:2" ht="58">
      <c r="A34" s="30" t="s">
        <v>260</v>
      </c>
      <c r="B34" s="37" t="s">
        <v>333</v>
      </c>
    </row>
    <row r="35" spans="1:2">
      <c r="A35" s="30" t="s">
        <v>324</v>
      </c>
      <c r="B35" s="37" t="s">
        <v>312</v>
      </c>
    </row>
    <row r="36" spans="1:2">
      <c r="A36" s="1221" t="s">
        <v>269</v>
      </c>
      <c r="B36" s="140" t="s">
        <v>325</v>
      </c>
    </row>
    <row r="37" spans="1:2">
      <c r="A37" s="1222"/>
      <c r="B37" s="140" t="s">
        <v>331</v>
      </c>
    </row>
    <row r="38" spans="1:2">
      <c r="A38" s="30" t="s">
        <v>271</v>
      </c>
      <c r="B38" s="37" t="s">
        <v>314</v>
      </c>
    </row>
    <row r="39" spans="1:2">
      <c r="A39" s="30" t="s">
        <v>273</v>
      </c>
      <c r="B39" s="37" t="s">
        <v>315</v>
      </c>
    </row>
  </sheetData>
  <mergeCells count="8">
    <mergeCell ref="A36:A37"/>
    <mergeCell ref="A2:B2"/>
    <mergeCell ref="A9:B9"/>
    <mergeCell ref="A16:B16"/>
    <mergeCell ref="A24:B24"/>
    <mergeCell ref="A32:B32"/>
    <mergeCell ref="A20:A21"/>
    <mergeCell ref="A28:A29"/>
  </mergeCells>
  <hyperlinks>
    <hyperlink ref="D1" location="INDICE!A7" display="SIGEM" xr:uid="{A5815FFA-640C-46E4-BC92-5B74D0729B1F}"/>
    <hyperlink ref="B29" r:id="rId1" display="Padrón Municipal de Habitantes. Subdirección General de Estadística." xr:uid="{86AEDF28-C1B6-4852-BBB6-EC8E1B08A00A}"/>
    <hyperlink ref="B21" r:id="rId2" display="Padrón Municipal de Habitantes. Subdirección General de Estadística." xr:uid="{CB4DBD7E-38E2-4ADB-8156-FBF45FFB6ED5}"/>
    <hyperlink ref="B20" r:id="rId3" display="Datos 2005 - 2015: Padrón Municipal de Habitantes. Subdirección General de Estadística." xr:uid="{5302049F-2F4C-4AD8-B02B-79401D6DA125}"/>
    <hyperlink ref="B28" r:id="rId4" xr:uid="{D478BBF8-038F-4D88-8994-5F1A6DDAF418}"/>
    <hyperlink ref="B37" r:id="rId5" display="Padrón Municipal de Habitantes. Subdirección General de Estadística." xr:uid="{B8E7917A-096C-4F61-8BCC-AEFEC16C8420}"/>
    <hyperlink ref="B36" r:id="rId6" xr:uid="{FC95292B-D04E-453D-B901-C4D941E3D944}"/>
    <hyperlink ref="B12" r:id="rId7" display="Datos 2005 - 2015: Padrón Municipal de Habitantes. Subdirección General de Estadística. Elaboración propia." xr:uid="{B2E3D563-FE43-41EA-8D81-016F3F115EE1}"/>
    <hyperlink ref="B6" r:id="rId8" display="Datos 2020 - 2023: Padrón Municipal de Habitantes. Subdirección General de Estadística." xr:uid="{0FA694F2-2C12-4039-8C14-084CA0BB7DBE}"/>
  </hyperlinks>
  <pageMargins left="0.7" right="0.7" top="0.75" bottom="0.75" header="0.3" footer="0.3"/>
  <pageSetup paperSize="9" orientation="portrait" horizontalDpi="300" verticalDpi="300"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AABF-2134-44C7-8C2A-7A3FD0812E27}">
  <sheetPr>
    <tabColor theme="4" tint="0.59999389629810485"/>
    <pageSetUpPr fitToPage="1"/>
  </sheetPr>
  <dimension ref="A1:AC318"/>
  <sheetViews>
    <sheetView showGridLines="0" zoomScale="60" zoomScaleNormal="60" workbookViewId="0">
      <pane ySplit="2" topLeftCell="A84" activePane="bottomLeft" state="frozen"/>
      <selection pane="bottomLeft" activeCell="K15" sqref="K15"/>
    </sheetView>
  </sheetViews>
  <sheetFormatPr baseColWidth="10" defaultColWidth="11.453125" defaultRowHeight="14.5"/>
  <cols>
    <col min="1" max="1" width="30.1796875" customWidth="1"/>
    <col min="2" max="2" width="54.453125" style="11" customWidth="1"/>
    <col min="3" max="3" width="32.81640625" bestFit="1" customWidth="1"/>
    <col min="4" max="4" width="11.453125" style="469" customWidth="1"/>
    <col min="5" max="5" width="8" style="469" customWidth="1"/>
    <col min="6" max="6" width="7.26953125" style="469" customWidth="1"/>
    <col min="7" max="7" width="7.90625" style="469" customWidth="1"/>
    <col min="8" max="8" width="6.453125" style="469" customWidth="1"/>
    <col min="9" max="9" width="8.36328125" style="469" customWidth="1"/>
    <col min="10" max="10" width="10.81640625" style="469" customWidth="1"/>
    <col min="11" max="11" width="9.54296875" style="469" customWidth="1"/>
    <col min="12" max="12" width="13" style="469" customWidth="1"/>
    <col min="13" max="13" width="9.6328125" style="469" customWidth="1"/>
    <col min="14" max="14" width="11.453125" style="469" customWidth="1"/>
    <col min="15" max="15" width="7.90625" style="469" customWidth="1"/>
    <col min="16" max="16" width="8.1796875" style="469" customWidth="1"/>
    <col min="17" max="17" width="6.36328125" style="469" customWidth="1"/>
    <col min="18" max="18" width="8.36328125" style="469" customWidth="1"/>
    <col min="19" max="23" width="11.453125" style="469"/>
    <col min="24" max="24" width="12.453125" hidden="1" customWidth="1"/>
    <col min="25" max="25" width="3.81640625" hidden="1" customWidth="1"/>
    <col min="26" max="26" width="9.1796875" customWidth="1"/>
    <col min="27" max="27" width="11.54296875" hidden="1" customWidth="1"/>
  </cols>
  <sheetData>
    <row r="1" spans="1:29" ht="29.5" customHeight="1" thickTop="1" thickBot="1">
      <c r="A1" s="24" t="s">
        <v>334</v>
      </c>
      <c r="L1" s="1094"/>
      <c r="M1" s="1094"/>
      <c r="N1" s="1094"/>
      <c r="O1" s="1094"/>
      <c r="P1" s="1094"/>
      <c r="Q1" s="1094"/>
      <c r="Y1" s="777" t="s">
        <v>245</v>
      </c>
    </row>
    <row r="2" spans="1:29" ht="14.5" customHeight="1" thickTop="1" thickBot="1">
      <c r="A2" s="6" t="s">
        <v>246</v>
      </c>
      <c r="B2" s="1243"/>
      <c r="C2" s="1244"/>
      <c r="D2" s="99">
        <v>2005</v>
      </c>
      <c r="E2" s="99">
        <v>2006</v>
      </c>
      <c r="F2" s="99">
        <v>2007</v>
      </c>
      <c r="G2" s="99">
        <v>2008</v>
      </c>
      <c r="H2" s="96">
        <v>2009</v>
      </c>
      <c r="I2" s="96">
        <v>2010</v>
      </c>
      <c r="J2" s="96">
        <v>2011</v>
      </c>
      <c r="K2" s="96">
        <v>2012</v>
      </c>
      <c r="L2" s="96">
        <v>2013</v>
      </c>
      <c r="M2" s="96">
        <v>2014</v>
      </c>
      <c r="N2" s="96">
        <v>2015</v>
      </c>
      <c r="O2" s="96">
        <v>2016</v>
      </c>
      <c r="P2" s="96">
        <v>2017</v>
      </c>
      <c r="Q2" s="96">
        <v>2018</v>
      </c>
      <c r="R2" s="96">
        <v>2019</v>
      </c>
      <c r="S2" s="96">
        <v>2020</v>
      </c>
      <c r="T2" s="96">
        <v>2021</v>
      </c>
      <c r="U2" s="96">
        <v>2022</v>
      </c>
      <c r="V2" s="15">
        <v>2023</v>
      </c>
      <c r="W2" s="15">
        <v>2024</v>
      </c>
    </row>
    <row r="3" spans="1:29" ht="14.5" customHeight="1">
      <c r="A3" s="1233" t="s">
        <v>335</v>
      </c>
      <c r="B3" s="1236" t="s">
        <v>336</v>
      </c>
      <c r="C3" s="1237"/>
      <c r="D3" s="476">
        <v>75.047692147259838</v>
      </c>
      <c r="E3" s="476"/>
      <c r="F3" s="476"/>
      <c r="G3" s="476"/>
      <c r="H3" s="476"/>
      <c r="I3" s="476">
        <v>80.322690697118503</v>
      </c>
      <c r="J3" s="476"/>
      <c r="K3" s="476"/>
      <c r="L3" s="476"/>
      <c r="M3" s="476"/>
      <c r="N3" s="476">
        <v>80.139333085381139</v>
      </c>
      <c r="O3" s="476"/>
      <c r="P3" s="476"/>
      <c r="Q3" s="476"/>
      <c r="R3" s="476"/>
      <c r="S3" s="476">
        <v>77.861664455581845</v>
      </c>
      <c r="T3" s="476">
        <v>79.790049651129038</v>
      </c>
      <c r="U3" s="476">
        <v>80.433761915929395</v>
      </c>
      <c r="V3" s="1095">
        <v>80.877872200652462</v>
      </c>
      <c r="W3" s="1096">
        <v>81.36127183490035</v>
      </c>
      <c r="AA3" s="990"/>
      <c r="AB3" s="648"/>
      <c r="AC3" s="648"/>
    </row>
    <row r="4" spans="1:29" ht="14.5" customHeight="1">
      <c r="A4" s="1234"/>
      <c r="B4" s="1238" t="s">
        <v>337</v>
      </c>
      <c r="C4" s="1239"/>
      <c r="D4" s="471">
        <v>82.06</v>
      </c>
      <c r="E4" s="471"/>
      <c r="F4" s="471"/>
      <c r="G4" s="471"/>
      <c r="H4" s="471"/>
      <c r="I4" s="472">
        <v>85.19</v>
      </c>
      <c r="J4" s="472"/>
      <c r="K4" s="472"/>
      <c r="L4" s="472"/>
      <c r="M4" s="472"/>
      <c r="N4" s="472">
        <v>82.68</v>
      </c>
      <c r="O4" s="472"/>
      <c r="P4" s="472"/>
      <c r="Q4" s="472"/>
      <c r="R4" s="472"/>
      <c r="S4" s="472">
        <v>80.599999999999994</v>
      </c>
      <c r="T4" s="472">
        <v>81.575834693862618</v>
      </c>
      <c r="U4" s="472">
        <v>83.583882555873927</v>
      </c>
      <c r="V4" s="473">
        <v>83.363624882301679</v>
      </c>
      <c r="W4" s="473">
        <v>83.36895470649776</v>
      </c>
      <c r="AA4" s="991"/>
      <c r="AB4" s="648"/>
      <c r="AC4" s="648"/>
    </row>
    <row r="5" spans="1:29" ht="14.5" customHeight="1">
      <c r="A5" s="1234"/>
      <c r="B5" s="1238" t="s">
        <v>338</v>
      </c>
      <c r="C5" s="1239"/>
      <c r="D5" s="471">
        <v>68.400000000000006</v>
      </c>
      <c r="E5" s="471"/>
      <c r="F5" s="471"/>
      <c r="G5" s="471"/>
      <c r="H5" s="471"/>
      <c r="I5" s="472">
        <v>75.75</v>
      </c>
      <c r="J5" s="472"/>
      <c r="K5" s="472"/>
      <c r="L5" s="472"/>
      <c r="M5" s="472"/>
      <c r="N5" s="472">
        <v>77.78</v>
      </c>
      <c r="O5" s="472"/>
      <c r="P5" s="472"/>
      <c r="Q5" s="472"/>
      <c r="R5" s="472"/>
      <c r="S5" s="472">
        <v>75.290000000000006</v>
      </c>
      <c r="T5" s="472">
        <v>78.121245628735011</v>
      </c>
      <c r="U5" s="472">
        <v>77.475267882443532</v>
      </c>
      <c r="V5" s="473">
        <v>78.566665912184305</v>
      </c>
      <c r="W5" s="473">
        <v>79.42981955868585</v>
      </c>
      <c r="AB5" s="648"/>
      <c r="AC5" s="648"/>
    </row>
    <row r="6" spans="1:29" ht="15" customHeight="1" thickBot="1">
      <c r="A6" s="1235"/>
      <c r="B6" s="1240" t="s">
        <v>339</v>
      </c>
      <c r="C6" s="1241"/>
      <c r="D6" s="474">
        <f>+D5-D4</f>
        <v>-13.659999999999997</v>
      </c>
      <c r="E6" s="474"/>
      <c r="F6" s="474"/>
      <c r="G6" s="474"/>
      <c r="H6" s="474"/>
      <c r="I6" s="474">
        <f>+I5-I4</f>
        <v>-9.4399999999999977</v>
      </c>
      <c r="J6" s="474"/>
      <c r="K6" s="474"/>
      <c r="L6" s="474"/>
      <c r="M6" s="474"/>
      <c r="N6" s="474">
        <f t="shared" ref="N6:S6" si="0">+N5-N4</f>
        <v>-4.9000000000000057</v>
      </c>
      <c r="O6" s="474"/>
      <c r="P6" s="474"/>
      <c r="Q6" s="474"/>
      <c r="R6" s="474"/>
      <c r="S6" s="474">
        <f t="shared" si="0"/>
        <v>-5.3099999999999881</v>
      </c>
      <c r="T6" s="474">
        <f>+T5-T4</f>
        <v>-3.4545890651276068</v>
      </c>
      <c r="U6" s="474">
        <f>+U5-U4</f>
        <v>-6.1086146734303952</v>
      </c>
      <c r="V6" s="475">
        <f>+V5-V4</f>
        <v>-4.7969589701173732</v>
      </c>
      <c r="W6" s="475">
        <f>+W5-W4</f>
        <v>-3.9391351478119105</v>
      </c>
    </row>
    <row r="7" spans="1:29" ht="16" customHeight="1" thickBot="1">
      <c r="A7" s="6" t="s">
        <v>246</v>
      </c>
      <c r="B7" s="1243"/>
      <c r="C7" s="1244"/>
      <c r="D7" s="99">
        <v>2005</v>
      </c>
      <c r="E7" s="99">
        <v>2006</v>
      </c>
      <c r="F7" s="99">
        <v>2007</v>
      </c>
      <c r="G7" s="99">
        <v>2008</v>
      </c>
      <c r="H7" s="96">
        <v>2009</v>
      </c>
      <c r="I7" s="96">
        <v>2010</v>
      </c>
      <c r="J7" s="96">
        <v>2011</v>
      </c>
      <c r="K7" s="96">
        <v>2012</v>
      </c>
      <c r="L7" s="96">
        <v>2013</v>
      </c>
      <c r="M7" s="96">
        <v>2014</v>
      </c>
      <c r="N7" s="96">
        <v>2015</v>
      </c>
      <c r="O7" s="96">
        <v>2016</v>
      </c>
      <c r="P7" s="96">
        <v>2017</v>
      </c>
      <c r="Q7" s="96">
        <v>2018</v>
      </c>
      <c r="R7" s="96">
        <v>2019</v>
      </c>
      <c r="S7" s="96">
        <v>2020</v>
      </c>
      <c r="T7" s="96">
        <v>2021</v>
      </c>
      <c r="U7" s="96">
        <v>2022</v>
      </c>
      <c r="V7" s="15">
        <v>2023</v>
      </c>
      <c r="W7" s="15">
        <v>2024</v>
      </c>
    </row>
    <row r="8" spans="1:29" ht="15" customHeight="1">
      <c r="A8" s="1166" t="s">
        <v>340</v>
      </c>
      <c r="B8" s="1236" t="s">
        <v>336</v>
      </c>
      <c r="C8" s="1237"/>
      <c r="D8" s="476">
        <v>70.153054089561266</v>
      </c>
      <c r="E8" s="476"/>
      <c r="F8" s="476"/>
      <c r="G8" s="476"/>
      <c r="H8" s="476"/>
      <c r="I8" s="476">
        <v>68.36692672303802</v>
      </c>
      <c r="J8" s="476"/>
      <c r="K8" s="476"/>
      <c r="L8" s="476"/>
      <c r="M8" s="476"/>
      <c r="N8" s="476">
        <v>66.761090604366274</v>
      </c>
      <c r="O8" s="476"/>
      <c r="P8" s="476"/>
      <c r="Q8" s="476"/>
      <c r="R8" s="476"/>
      <c r="S8" s="476">
        <v>67.713010276073248</v>
      </c>
      <c r="T8" s="476">
        <v>70.628833583911245</v>
      </c>
      <c r="U8" s="476">
        <v>71.469600461713426</v>
      </c>
      <c r="V8" s="1095">
        <v>73.061902621363089</v>
      </c>
      <c r="W8" s="1096">
        <v>74.380063510005002</v>
      </c>
      <c r="AA8" s="992"/>
      <c r="AB8" s="648"/>
      <c r="AC8" s="648"/>
    </row>
    <row r="9" spans="1:29" ht="14.5" customHeight="1">
      <c r="A9" s="1167"/>
      <c r="B9" s="1238" t="s">
        <v>337</v>
      </c>
      <c r="C9" s="1239"/>
      <c r="D9" s="477">
        <v>76.69</v>
      </c>
      <c r="E9" s="477"/>
      <c r="F9" s="477"/>
      <c r="G9" s="477"/>
      <c r="H9" s="477"/>
      <c r="I9" s="472">
        <v>72.309913378248311</v>
      </c>
      <c r="J9" s="472"/>
      <c r="K9" s="472"/>
      <c r="L9" s="472"/>
      <c r="M9" s="472"/>
      <c r="N9" s="472">
        <v>68.089670706854037</v>
      </c>
      <c r="O9" s="472"/>
      <c r="P9" s="472"/>
      <c r="Q9" s="472"/>
      <c r="R9" s="472"/>
      <c r="S9" s="472">
        <v>70.683818551117128</v>
      </c>
      <c r="T9" s="472">
        <v>73.229762709469739</v>
      </c>
      <c r="U9" s="472">
        <v>75.917120127213607</v>
      </c>
      <c r="V9" s="473">
        <v>75.817160803031385</v>
      </c>
      <c r="W9" s="478">
        <v>75.817644423397567</v>
      </c>
      <c r="AB9" s="648"/>
      <c r="AC9" s="648"/>
    </row>
    <row r="10" spans="1:29" ht="14.5" customHeight="1">
      <c r="A10" s="1167"/>
      <c r="B10" s="1238" t="s">
        <v>338</v>
      </c>
      <c r="C10" s="1239"/>
      <c r="D10" s="477">
        <v>63.96</v>
      </c>
      <c r="E10" s="477"/>
      <c r="F10" s="477"/>
      <c r="G10" s="477"/>
      <c r="H10" s="477"/>
      <c r="I10" s="472">
        <v>64.655874106900612</v>
      </c>
      <c r="J10" s="472"/>
      <c r="K10" s="472"/>
      <c r="L10" s="472"/>
      <c r="M10" s="472"/>
      <c r="N10" s="472">
        <v>65.546385602068213</v>
      </c>
      <c r="O10" s="472"/>
      <c r="P10" s="472"/>
      <c r="Q10" s="472"/>
      <c r="R10" s="472"/>
      <c r="S10" s="472">
        <v>64.870295944464743</v>
      </c>
      <c r="T10" s="472">
        <v>68.198883167957902</v>
      </c>
      <c r="U10" s="472">
        <v>67.299331885933128</v>
      </c>
      <c r="V10" s="478">
        <v>70.504323714737922</v>
      </c>
      <c r="W10" s="478">
        <v>72.995088029947624</v>
      </c>
      <c r="AB10" s="648"/>
      <c r="AC10" s="648"/>
    </row>
    <row r="11" spans="1:29" ht="15" customHeight="1" thickBot="1">
      <c r="A11" s="1168"/>
      <c r="B11" s="1240" t="s">
        <v>339</v>
      </c>
      <c r="C11" s="1241"/>
      <c r="D11" s="474">
        <f t="shared" ref="D11:U11" si="1">+D10-D9</f>
        <v>-12.729999999999997</v>
      </c>
      <c r="E11" s="474"/>
      <c r="F11" s="474"/>
      <c r="G11" s="474"/>
      <c r="H11" s="474"/>
      <c r="I11" s="474">
        <f t="shared" si="1"/>
        <v>-7.654039271347699</v>
      </c>
      <c r="J11" s="474"/>
      <c r="K11" s="474"/>
      <c r="L11" s="474"/>
      <c r="M11" s="474"/>
      <c r="N11" s="474">
        <f t="shared" si="1"/>
        <v>-2.5432851047858236</v>
      </c>
      <c r="O11" s="474"/>
      <c r="P11" s="474"/>
      <c r="Q11" s="474"/>
      <c r="R11" s="474"/>
      <c r="S11" s="474">
        <f t="shared" si="1"/>
        <v>-5.8135226066523842</v>
      </c>
      <c r="T11" s="474">
        <f t="shared" si="1"/>
        <v>-5.0308795415118368</v>
      </c>
      <c r="U11" s="474">
        <f t="shared" si="1"/>
        <v>-8.6177882412804792</v>
      </c>
      <c r="V11" s="475">
        <f>+V10-V9</f>
        <v>-5.3128370882934632</v>
      </c>
      <c r="W11" s="475">
        <f>+W10-W9</f>
        <v>-2.8225563934499434</v>
      </c>
    </row>
    <row r="12" spans="1:29" ht="15" thickBot="1">
      <c r="A12" s="6" t="s">
        <v>246</v>
      </c>
      <c r="B12" s="1243"/>
      <c r="C12" s="1244"/>
      <c r="D12" s="99">
        <v>2005</v>
      </c>
      <c r="E12" s="99">
        <v>2006</v>
      </c>
      <c r="F12" s="99">
        <v>2007</v>
      </c>
      <c r="G12" s="99">
        <v>2008</v>
      </c>
      <c r="H12" s="96">
        <v>2009</v>
      </c>
      <c r="I12" s="96">
        <v>2010</v>
      </c>
      <c r="J12" s="96">
        <v>2011</v>
      </c>
      <c r="K12" s="96">
        <v>2012</v>
      </c>
      <c r="L12" s="96">
        <v>2013</v>
      </c>
      <c r="M12" s="96">
        <v>2014</v>
      </c>
      <c r="N12" s="96">
        <v>2015</v>
      </c>
      <c r="O12" s="96">
        <v>2016</v>
      </c>
      <c r="P12" s="96">
        <v>2017</v>
      </c>
      <c r="Q12" s="96">
        <v>2018</v>
      </c>
      <c r="R12" s="96">
        <v>2019</v>
      </c>
      <c r="S12" s="96">
        <v>2020</v>
      </c>
      <c r="T12" s="96">
        <v>2021</v>
      </c>
      <c r="U12" s="96">
        <v>2022</v>
      </c>
      <c r="V12" s="15">
        <v>2023</v>
      </c>
      <c r="W12" s="15">
        <v>2024</v>
      </c>
      <c r="AA12" s="992"/>
    </row>
    <row r="13" spans="1:29" ht="15" customHeight="1">
      <c r="A13" s="1166" t="s">
        <v>341</v>
      </c>
      <c r="B13" s="1236" t="s">
        <v>336</v>
      </c>
      <c r="C13" s="1237"/>
      <c r="D13" s="476">
        <v>6.52</v>
      </c>
      <c r="E13" s="476"/>
      <c r="F13" s="476"/>
      <c r="G13" s="476"/>
      <c r="H13" s="476"/>
      <c r="I13" s="470">
        <v>14.89</v>
      </c>
      <c r="J13" s="470"/>
      <c r="K13" s="470"/>
      <c r="L13" s="470"/>
      <c r="M13" s="470"/>
      <c r="N13" s="470">
        <v>16.690000000000001</v>
      </c>
      <c r="O13" s="470"/>
      <c r="P13" s="470"/>
      <c r="Q13" s="470"/>
      <c r="R13" s="470"/>
      <c r="S13" s="470">
        <v>13.04</v>
      </c>
      <c r="T13" s="470">
        <v>11.49</v>
      </c>
      <c r="U13" s="470">
        <v>11.143115478628722</v>
      </c>
      <c r="V13" s="1095">
        <v>9.6661401340804787</v>
      </c>
      <c r="W13" s="1096">
        <v>8.5832916006110036</v>
      </c>
      <c r="AB13" s="648"/>
      <c r="AC13" s="648"/>
    </row>
    <row r="14" spans="1:29" ht="14.5" customHeight="1">
      <c r="A14" s="1167"/>
      <c r="B14" s="1238" t="s">
        <v>337</v>
      </c>
      <c r="C14" s="1239"/>
      <c r="D14" s="477">
        <v>6.5</v>
      </c>
      <c r="E14" s="477"/>
      <c r="F14" s="477"/>
      <c r="G14" s="477"/>
      <c r="H14" s="477"/>
      <c r="I14" s="472">
        <v>15.116935939441868</v>
      </c>
      <c r="J14" s="472"/>
      <c r="K14" s="472"/>
      <c r="L14" s="472"/>
      <c r="M14" s="472"/>
      <c r="N14" s="472">
        <v>17.670000000000002</v>
      </c>
      <c r="O14" s="472"/>
      <c r="P14" s="472"/>
      <c r="Q14" s="472"/>
      <c r="R14" s="472"/>
      <c r="S14" s="472">
        <v>12.28</v>
      </c>
      <c r="T14" s="472">
        <v>10.239211006100611</v>
      </c>
      <c r="U14" s="472">
        <v>9.1659623370732266</v>
      </c>
      <c r="V14" s="478">
        <v>9.053536352729866</v>
      </c>
      <c r="W14" s="478">
        <v>9.0582610678587496</v>
      </c>
      <c r="AB14" s="648"/>
      <c r="AC14" s="648"/>
    </row>
    <row r="15" spans="1:29" ht="14.5" customHeight="1">
      <c r="A15" s="1167"/>
      <c r="B15" s="1238" t="s">
        <v>338</v>
      </c>
      <c r="C15" s="1239"/>
      <c r="D15" s="477">
        <v>6.49</v>
      </c>
      <c r="E15" s="477"/>
      <c r="F15" s="477"/>
      <c r="G15" s="477"/>
      <c r="H15" s="477"/>
      <c r="I15" s="472">
        <v>14.628612371626465</v>
      </c>
      <c r="J15" s="472"/>
      <c r="K15" s="472"/>
      <c r="L15" s="472"/>
      <c r="M15" s="472"/>
      <c r="N15" s="472">
        <v>15.73</v>
      </c>
      <c r="O15" s="472"/>
      <c r="P15" s="472"/>
      <c r="Q15" s="472"/>
      <c r="R15" s="472"/>
      <c r="S15" s="472">
        <v>13.82</v>
      </c>
      <c r="T15" s="472">
        <v>12.7</v>
      </c>
      <c r="U15" s="472">
        <v>13.135020837683815</v>
      </c>
      <c r="V15" s="478">
        <v>10.270363500076677</v>
      </c>
      <c r="W15" s="478">
        <v>8.1064437800245717</v>
      </c>
      <c r="AB15" s="648"/>
      <c r="AC15" s="648"/>
    </row>
    <row r="16" spans="1:29" ht="15" thickBot="1">
      <c r="A16" s="1168"/>
      <c r="B16" s="1240" t="s">
        <v>339</v>
      </c>
      <c r="C16" s="1241"/>
      <c r="D16" s="474">
        <f t="shared" ref="D16" si="2">+D15-D14</f>
        <v>-9.9999999999997868E-3</v>
      </c>
      <c r="E16" s="474"/>
      <c r="F16" s="474"/>
      <c r="G16" s="474"/>
      <c r="H16" s="474"/>
      <c r="I16" s="474">
        <f t="shared" ref="I16:U16" si="3">+I15-I14</f>
        <v>-0.48832356781540298</v>
      </c>
      <c r="J16" s="474"/>
      <c r="K16" s="474"/>
      <c r="L16" s="474"/>
      <c r="M16" s="474"/>
      <c r="N16" s="474">
        <f t="shared" si="3"/>
        <v>-1.9400000000000013</v>
      </c>
      <c r="O16" s="474"/>
      <c r="P16" s="474"/>
      <c r="Q16" s="474"/>
      <c r="R16" s="474"/>
      <c r="S16" s="474">
        <f t="shared" si="3"/>
        <v>1.5400000000000009</v>
      </c>
      <c r="T16" s="474">
        <f t="shared" si="3"/>
        <v>2.4607889938993885</v>
      </c>
      <c r="U16" s="474">
        <f t="shared" si="3"/>
        <v>3.9690585006105881</v>
      </c>
      <c r="V16" s="475">
        <f>+V15-V14</f>
        <v>1.2168271473468106</v>
      </c>
      <c r="W16" s="475">
        <f>+W15-W14</f>
        <v>-0.95181728783417796</v>
      </c>
    </row>
    <row r="17" spans="1:28" ht="15" thickBot="1">
      <c r="A17" s="6" t="s">
        <v>246</v>
      </c>
      <c r="B17" s="1245"/>
      <c r="C17" s="1245"/>
      <c r="D17" s="804">
        <v>2005</v>
      </c>
      <c r="E17" s="804">
        <v>2006</v>
      </c>
      <c r="F17" s="804">
        <v>2007</v>
      </c>
      <c r="G17" s="804">
        <v>2008</v>
      </c>
      <c r="H17" s="734">
        <v>2009</v>
      </c>
      <c r="I17" s="734">
        <v>2010</v>
      </c>
      <c r="J17" s="734">
        <v>2011</v>
      </c>
      <c r="K17" s="734">
        <v>2012</v>
      </c>
      <c r="L17" s="734">
        <v>2013</v>
      </c>
      <c r="M17" s="734">
        <v>2014</v>
      </c>
      <c r="N17" s="734">
        <v>2015</v>
      </c>
      <c r="O17" s="734">
        <v>2016</v>
      </c>
      <c r="P17" s="734">
        <v>2017</v>
      </c>
      <c r="Q17" s="734">
        <v>2018</v>
      </c>
      <c r="R17" s="734">
        <v>2019</v>
      </c>
      <c r="S17" s="734">
        <v>2020</v>
      </c>
      <c r="T17" s="734">
        <v>2021</v>
      </c>
      <c r="U17" s="734">
        <v>2022</v>
      </c>
      <c r="V17" s="805">
        <v>2023</v>
      </c>
      <c r="W17" s="805">
        <v>2024</v>
      </c>
    </row>
    <row r="18" spans="1:28">
      <c r="A18" s="1228" t="s">
        <v>342</v>
      </c>
      <c r="B18" s="1246" t="s">
        <v>343</v>
      </c>
      <c r="C18" s="806" t="s">
        <v>344</v>
      </c>
      <c r="D18" s="807"/>
      <c r="E18" s="807"/>
      <c r="F18" s="807"/>
      <c r="G18" s="807"/>
      <c r="H18" s="807"/>
      <c r="I18" s="528"/>
      <c r="J18" s="808">
        <v>1379395</v>
      </c>
      <c r="K18" s="808"/>
      <c r="L18" s="808"/>
      <c r="M18" s="808"/>
      <c r="N18" s="528"/>
      <c r="O18" s="528"/>
      <c r="P18" s="528"/>
      <c r="Q18" s="528"/>
      <c r="R18" s="528"/>
      <c r="S18" s="528"/>
      <c r="T18" s="808">
        <v>1409073</v>
      </c>
      <c r="U18" s="528"/>
      <c r="V18" s="486"/>
      <c r="W18" s="486"/>
      <c r="X18" s="650"/>
      <c r="Y18" s="650"/>
      <c r="Z18" s="650"/>
    </row>
    <row r="19" spans="1:28" ht="15" customHeight="1">
      <c r="A19" s="1229"/>
      <c r="B19" s="1247"/>
      <c r="C19" s="800" t="s">
        <v>345</v>
      </c>
      <c r="D19" s="483"/>
      <c r="E19" s="483"/>
      <c r="F19" s="483"/>
      <c r="G19" s="483"/>
      <c r="H19" s="483"/>
      <c r="I19" s="483"/>
      <c r="J19" s="485">
        <v>690870</v>
      </c>
      <c r="K19" s="485"/>
      <c r="L19" s="485"/>
      <c r="M19" s="485"/>
      <c r="N19" s="485"/>
      <c r="O19" s="485"/>
      <c r="P19" s="485"/>
      <c r="Q19" s="485"/>
      <c r="R19" s="485"/>
      <c r="S19" s="485"/>
      <c r="T19" s="485">
        <v>701133</v>
      </c>
      <c r="U19" s="483"/>
      <c r="V19" s="486"/>
      <c r="W19" s="486"/>
    </row>
    <row r="20" spans="1:28">
      <c r="A20" s="1229"/>
      <c r="B20" s="1247"/>
      <c r="C20" s="800" t="s">
        <v>346</v>
      </c>
      <c r="D20" s="483"/>
      <c r="E20" s="483"/>
      <c r="F20" s="483"/>
      <c r="G20" s="483"/>
      <c r="H20" s="483"/>
      <c r="I20" s="483"/>
      <c r="J20" s="485">
        <v>688520</v>
      </c>
      <c r="K20" s="485"/>
      <c r="L20" s="485"/>
      <c r="M20" s="485"/>
      <c r="N20" s="485"/>
      <c r="O20" s="485"/>
      <c r="P20" s="485"/>
      <c r="Q20" s="485"/>
      <c r="R20" s="485"/>
      <c r="S20" s="485"/>
      <c r="T20" s="485">
        <v>707940</v>
      </c>
      <c r="U20" s="483"/>
      <c r="V20" s="486"/>
      <c r="W20" s="486"/>
    </row>
    <row r="21" spans="1:28" ht="15" thickBot="1">
      <c r="A21" s="1229"/>
      <c r="B21" s="1248"/>
      <c r="C21" s="809" t="s">
        <v>347</v>
      </c>
      <c r="D21" s="483"/>
      <c r="E21" s="483"/>
      <c r="F21" s="483"/>
      <c r="G21" s="483"/>
      <c r="H21" s="483"/>
      <c r="I21" s="483"/>
      <c r="J21" s="810">
        <f>(J20/J18)*100</f>
        <v>49.914636489185476</v>
      </c>
      <c r="K21" s="485"/>
      <c r="L21" s="485"/>
      <c r="M21" s="485"/>
      <c r="N21" s="485"/>
      <c r="O21" s="485"/>
      <c r="P21" s="485"/>
      <c r="Q21" s="485"/>
      <c r="R21" s="485"/>
      <c r="S21" s="485"/>
      <c r="T21" s="810">
        <f>(T20/T18)*100</f>
        <v>50.241541779595522</v>
      </c>
      <c r="U21" s="483"/>
      <c r="V21" s="486"/>
      <c r="W21" s="486"/>
    </row>
    <row r="22" spans="1:28">
      <c r="A22" s="1230"/>
      <c r="B22" s="1231" t="s">
        <v>348</v>
      </c>
      <c r="C22" s="121" t="s">
        <v>344</v>
      </c>
      <c r="D22" s="515"/>
      <c r="E22" s="515"/>
      <c r="F22" s="515"/>
      <c r="G22" s="515"/>
      <c r="H22" s="515"/>
      <c r="I22" s="479"/>
      <c r="J22" s="480">
        <v>9775</v>
      </c>
      <c r="L22" s="480"/>
      <c r="M22" s="480"/>
      <c r="N22" s="479"/>
      <c r="O22" s="479"/>
      <c r="P22" s="479"/>
      <c r="Q22" s="479"/>
      <c r="R22" s="479"/>
      <c r="S22" s="479"/>
      <c r="T22" s="480"/>
      <c r="U22" s="479"/>
      <c r="V22" s="481"/>
      <c r="W22" s="481"/>
    </row>
    <row r="23" spans="1:28">
      <c r="A23" s="1230"/>
      <c r="B23" s="1231"/>
      <c r="C23" s="798" t="s">
        <v>345</v>
      </c>
      <c r="D23" s="482"/>
      <c r="E23" s="482"/>
      <c r="F23" s="482"/>
      <c r="G23" s="482"/>
      <c r="H23" s="482"/>
      <c r="I23" s="483"/>
      <c r="J23" s="485">
        <v>8425</v>
      </c>
      <c r="K23" s="485"/>
      <c r="L23" s="485"/>
      <c r="M23" s="485"/>
      <c r="N23" s="483"/>
      <c r="O23" s="483"/>
      <c r="P23" s="483"/>
      <c r="Q23" s="483"/>
      <c r="R23" s="483"/>
      <c r="S23" s="483"/>
      <c r="T23" s="485"/>
      <c r="U23" s="483"/>
      <c r="V23" s="486"/>
      <c r="W23" s="486"/>
      <c r="Y23" s="1"/>
    </row>
    <row r="24" spans="1:28" ht="15" thickBot="1">
      <c r="A24" s="1230"/>
      <c r="B24" s="1231"/>
      <c r="C24" s="799" t="s">
        <v>346</v>
      </c>
      <c r="D24" s="482"/>
      <c r="E24" s="482"/>
      <c r="F24" s="482"/>
      <c r="G24" s="482"/>
      <c r="H24" s="482"/>
      <c r="I24" s="483"/>
      <c r="J24" s="485">
        <v>1350</v>
      </c>
      <c r="K24" s="485"/>
      <c r="L24" s="485"/>
      <c r="M24" s="485"/>
      <c r="N24" s="483"/>
      <c r="O24" s="483"/>
      <c r="P24" s="483"/>
      <c r="Q24" s="483"/>
      <c r="R24" s="483"/>
      <c r="S24" s="483"/>
      <c r="T24" s="485"/>
      <c r="U24" s="483"/>
      <c r="V24" s="486"/>
      <c r="W24" s="486"/>
      <c r="Z24" s="649"/>
      <c r="AA24" s="649"/>
    </row>
    <row r="25" spans="1:28" ht="15" thickBot="1">
      <c r="A25" s="1230"/>
      <c r="B25" s="1232"/>
      <c r="C25" s="143" t="s">
        <v>289</v>
      </c>
      <c r="D25" s="487"/>
      <c r="E25" s="487"/>
      <c r="F25" s="487"/>
      <c r="G25" s="487"/>
      <c r="H25" s="487"/>
      <c r="I25" s="488"/>
      <c r="J25" s="773">
        <f>(J24/J22)*100</f>
        <v>13.810741687979538</v>
      </c>
      <c r="K25" s="503"/>
      <c r="L25" s="503"/>
      <c r="M25" s="503"/>
      <c r="N25" s="503"/>
      <c r="O25" s="503"/>
      <c r="P25" s="496"/>
      <c r="Q25" s="496"/>
      <c r="R25" s="496"/>
      <c r="S25" s="496"/>
      <c r="T25" s="497"/>
      <c r="U25" s="488"/>
      <c r="V25" s="491"/>
      <c r="W25" s="491"/>
      <c r="Y25" s="909"/>
      <c r="Z25" s="910"/>
      <c r="AA25" s="910"/>
    </row>
    <row r="26" spans="1:28" ht="14.5" customHeight="1">
      <c r="A26" s="1230"/>
      <c r="B26" s="1231" t="s">
        <v>349</v>
      </c>
      <c r="C26" s="121" t="s">
        <v>344</v>
      </c>
      <c r="D26" s="515"/>
      <c r="E26" s="515"/>
      <c r="F26" s="515"/>
      <c r="G26" s="515"/>
      <c r="H26" s="515"/>
      <c r="I26" s="479"/>
      <c r="J26" s="480">
        <v>17080</v>
      </c>
      <c r="K26" s="480"/>
      <c r="L26" s="480"/>
      <c r="M26" s="480"/>
      <c r="N26" s="479"/>
      <c r="O26" s="479"/>
      <c r="P26" s="479"/>
      <c r="Q26" s="479"/>
      <c r="R26" s="479"/>
      <c r="S26" s="479"/>
      <c r="T26" s="480">
        <v>6363</v>
      </c>
      <c r="U26" s="479"/>
      <c r="V26" s="481"/>
      <c r="W26" s="481"/>
      <c r="Y26" s="910"/>
      <c r="Z26" s="910"/>
      <c r="AA26" s="910"/>
    </row>
    <row r="27" spans="1:28">
      <c r="A27" s="1230"/>
      <c r="B27" s="1231"/>
      <c r="C27" s="798" t="s">
        <v>345</v>
      </c>
      <c r="D27" s="482"/>
      <c r="E27" s="482"/>
      <c r="F27" s="482"/>
      <c r="G27" s="482"/>
      <c r="H27" s="482"/>
      <c r="I27" s="499"/>
      <c r="J27" s="498">
        <v>13155</v>
      </c>
      <c r="K27" s="498"/>
      <c r="L27" s="498"/>
      <c r="M27" s="498"/>
      <c r="N27" s="483"/>
      <c r="O27" s="483"/>
      <c r="P27" s="483"/>
      <c r="Q27" s="483"/>
      <c r="R27" s="483"/>
      <c r="S27" s="483"/>
      <c r="T27" s="485">
        <v>4542</v>
      </c>
      <c r="U27" s="483"/>
      <c r="V27" s="486"/>
      <c r="W27" s="486"/>
      <c r="Y27" s="910"/>
      <c r="Z27" s="650"/>
      <c r="AA27" s="650"/>
    </row>
    <row r="28" spans="1:28" ht="15" thickBot="1">
      <c r="A28" s="1230"/>
      <c r="B28" s="1231"/>
      <c r="C28" s="799" t="s">
        <v>346</v>
      </c>
      <c r="D28" s="482"/>
      <c r="E28" s="482"/>
      <c r="F28" s="482"/>
      <c r="G28" s="482"/>
      <c r="H28" s="482"/>
      <c r="I28" s="499"/>
      <c r="J28" s="485">
        <v>3925</v>
      </c>
      <c r="K28" s="500"/>
      <c r="L28" s="500"/>
      <c r="M28" s="500"/>
      <c r="N28" s="482"/>
      <c r="O28" s="482"/>
      <c r="P28" s="482"/>
      <c r="Q28" s="482"/>
      <c r="R28" s="482"/>
      <c r="S28" s="483"/>
      <c r="T28" s="485">
        <v>1821</v>
      </c>
      <c r="U28" s="483"/>
      <c r="V28" s="486"/>
      <c r="W28" s="486"/>
      <c r="Y28" s="910"/>
      <c r="Z28" s="650"/>
      <c r="AA28" s="650"/>
      <c r="AB28" s="649"/>
    </row>
    <row r="29" spans="1:28" ht="15" thickBot="1">
      <c r="A29" s="1230"/>
      <c r="B29" s="1232"/>
      <c r="C29" s="143" t="s">
        <v>289</v>
      </c>
      <c r="D29" s="487"/>
      <c r="E29" s="487"/>
      <c r="F29" s="487"/>
      <c r="G29" s="487"/>
      <c r="H29" s="487"/>
      <c r="I29" s="501"/>
      <c r="J29" s="773">
        <f>(J28/J26)*100</f>
        <v>22.980093676814988</v>
      </c>
      <c r="K29" s="502"/>
      <c r="L29" s="502"/>
      <c r="M29" s="502"/>
      <c r="N29" s="503"/>
      <c r="O29" s="503"/>
      <c r="P29" s="503"/>
      <c r="Q29" s="503"/>
      <c r="R29" s="503"/>
      <c r="S29" s="496"/>
      <c r="T29" s="771">
        <f>T28/T26*100</f>
        <v>28.618576143328617</v>
      </c>
      <c r="U29" s="488"/>
      <c r="V29" s="491"/>
      <c r="W29" s="491"/>
      <c r="Y29" s="910"/>
      <c r="Z29" s="650"/>
      <c r="AA29" s="650"/>
      <c r="AB29" s="649"/>
    </row>
    <row r="30" spans="1:28">
      <c r="A30" s="1230"/>
      <c r="B30" s="1242" t="s">
        <v>350</v>
      </c>
      <c r="C30" s="123" t="s">
        <v>344</v>
      </c>
      <c r="D30" s="492"/>
      <c r="E30" s="492"/>
      <c r="F30" s="492"/>
      <c r="G30" s="492"/>
      <c r="H30" s="492"/>
      <c r="I30" s="504"/>
      <c r="J30" s="494">
        <v>31105</v>
      </c>
      <c r="K30" s="505"/>
      <c r="L30" s="505"/>
      <c r="M30" s="505"/>
      <c r="N30" s="492"/>
      <c r="O30" s="492"/>
      <c r="P30" s="492"/>
      <c r="Q30" s="492"/>
      <c r="R30" s="492"/>
      <c r="S30" s="493"/>
      <c r="T30" s="494">
        <v>35412</v>
      </c>
      <c r="U30" s="493"/>
      <c r="V30" s="495"/>
      <c r="W30" s="495"/>
      <c r="Y30" s="910"/>
      <c r="Z30" s="650"/>
      <c r="AB30" s="649"/>
    </row>
    <row r="31" spans="1:28">
      <c r="A31" s="1230"/>
      <c r="B31" s="1231"/>
      <c r="C31" s="798" t="s">
        <v>345</v>
      </c>
      <c r="D31" s="482"/>
      <c r="E31" s="482"/>
      <c r="F31" s="482"/>
      <c r="G31" s="482"/>
      <c r="H31" s="482"/>
      <c r="I31" s="499"/>
      <c r="J31" s="485">
        <v>19015</v>
      </c>
      <c r="K31" s="500"/>
      <c r="L31" s="500"/>
      <c r="M31" s="500"/>
      <c r="N31" s="482"/>
      <c r="O31" s="482"/>
      <c r="P31" s="482"/>
      <c r="Q31" s="482"/>
      <c r="R31" s="482"/>
      <c r="S31" s="483"/>
      <c r="T31" s="485">
        <v>21363</v>
      </c>
      <c r="U31" s="483"/>
      <c r="V31" s="486"/>
      <c r="W31" s="486"/>
      <c r="Y31" s="910"/>
      <c r="Z31" s="650"/>
      <c r="AA31" s="650"/>
      <c r="AB31" s="649"/>
    </row>
    <row r="32" spans="1:28" ht="15" thickBot="1">
      <c r="A32" s="1230"/>
      <c r="B32" s="1231"/>
      <c r="C32" s="799" t="s">
        <v>346</v>
      </c>
      <c r="D32" s="482"/>
      <c r="E32" s="482"/>
      <c r="F32" s="482"/>
      <c r="G32" s="482"/>
      <c r="H32" s="482"/>
      <c r="I32" s="499"/>
      <c r="J32" s="485">
        <v>12090</v>
      </c>
      <c r="K32" s="500"/>
      <c r="L32" s="500"/>
      <c r="M32" s="500"/>
      <c r="N32" s="482"/>
      <c r="O32" s="482"/>
      <c r="P32" s="482"/>
      <c r="Q32" s="482"/>
      <c r="R32" s="482"/>
      <c r="S32" s="483"/>
      <c r="T32" s="485">
        <v>14046</v>
      </c>
      <c r="U32" s="483"/>
      <c r="V32" s="486"/>
      <c r="W32" s="486"/>
      <c r="Y32" s="910"/>
      <c r="Z32" s="650"/>
      <c r="AA32" s="650"/>
      <c r="AB32" s="649"/>
    </row>
    <row r="33" spans="1:28" ht="15" thickBot="1">
      <c r="A33" s="1230"/>
      <c r="B33" s="1232"/>
      <c r="C33" s="143" t="s">
        <v>289</v>
      </c>
      <c r="D33" s="487"/>
      <c r="E33" s="487"/>
      <c r="F33" s="487"/>
      <c r="G33" s="487"/>
      <c r="H33" s="487"/>
      <c r="I33" s="501"/>
      <c r="J33" s="771">
        <f>(J32/J30)*100</f>
        <v>38.868349140009641</v>
      </c>
      <c r="K33" s="506"/>
      <c r="L33" s="506"/>
      <c r="M33" s="506"/>
      <c r="N33" s="503"/>
      <c r="O33" s="503"/>
      <c r="P33" s="503"/>
      <c r="Q33" s="503"/>
      <c r="R33" s="503"/>
      <c r="S33" s="496"/>
      <c r="T33" s="771">
        <f>T32/T30*100</f>
        <v>39.664520501524905</v>
      </c>
      <c r="U33" s="488"/>
      <c r="V33" s="491"/>
      <c r="W33" s="491"/>
      <c r="Y33" s="910"/>
      <c r="Z33" s="650"/>
      <c r="AA33" s="650"/>
      <c r="AB33" s="649"/>
    </row>
    <row r="34" spans="1:28">
      <c r="A34" s="1230"/>
      <c r="B34" s="1242" t="s">
        <v>351</v>
      </c>
      <c r="C34" s="123" t="s">
        <v>344</v>
      </c>
      <c r="D34" s="492"/>
      <c r="E34" s="492"/>
      <c r="F34" s="492"/>
      <c r="G34" s="492"/>
      <c r="H34" s="492"/>
      <c r="I34" s="504"/>
      <c r="J34" s="494">
        <v>34760</v>
      </c>
      <c r="K34" s="505"/>
      <c r="L34" s="505"/>
      <c r="M34" s="505"/>
      <c r="N34" s="492"/>
      <c r="O34" s="492"/>
      <c r="P34" s="492"/>
      <c r="Q34" s="492"/>
      <c r="R34" s="492"/>
      <c r="S34" s="493"/>
      <c r="T34" s="494">
        <v>11256</v>
      </c>
      <c r="U34" s="493"/>
      <c r="V34" s="495"/>
      <c r="W34" s="495"/>
      <c r="Y34" s="910"/>
      <c r="Z34" s="650"/>
      <c r="AA34" s="650"/>
      <c r="AB34" s="649"/>
    </row>
    <row r="35" spans="1:28">
      <c r="A35" s="1230"/>
      <c r="B35" s="1231"/>
      <c r="C35" s="798" t="s">
        <v>345</v>
      </c>
      <c r="D35" s="482"/>
      <c r="E35" s="482"/>
      <c r="F35" s="482"/>
      <c r="G35" s="482"/>
      <c r="H35" s="482"/>
      <c r="I35" s="499"/>
      <c r="J35" s="485">
        <v>24165</v>
      </c>
      <c r="K35" s="500"/>
      <c r="L35" s="500"/>
      <c r="M35" s="500"/>
      <c r="N35" s="482"/>
      <c r="O35" s="482"/>
      <c r="P35" s="482"/>
      <c r="Q35" s="482"/>
      <c r="R35" s="482"/>
      <c r="S35" s="483"/>
      <c r="T35" s="485">
        <v>7716</v>
      </c>
      <c r="U35" s="483"/>
      <c r="V35" s="486"/>
      <c r="W35" s="486"/>
      <c r="Y35" s="910"/>
      <c r="Z35" s="650"/>
      <c r="AA35" s="650"/>
      <c r="AB35" s="649"/>
    </row>
    <row r="36" spans="1:28" ht="15" thickBot="1">
      <c r="A36" s="1230"/>
      <c r="B36" s="1231"/>
      <c r="C36" s="799" t="s">
        <v>346</v>
      </c>
      <c r="D36" s="482"/>
      <c r="E36" s="482"/>
      <c r="F36" s="482"/>
      <c r="G36" s="482"/>
      <c r="H36" s="482"/>
      <c r="I36" s="499"/>
      <c r="J36" s="485">
        <v>10600</v>
      </c>
      <c r="K36" s="500"/>
      <c r="L36" s="500"/>
      <c r="M36" s="500"/>
      <c r="N36" s="482"/>
      <c r="O36" s="482"/>
      <c r="P36" s="482"/>
      <c r="Q36" s="482"/>
      <c r="R36" s="482"/>
      <c r="S36" s="483"/>
      <c r="T36" s="485">
        <v>3543</v>
      </c>
      <c r="U36" s="483"/>
      <c r="V36" s="486"/>
      <c r="W36" s="486"/>
      <c r="Y36" s="910"/>
      <c r="Z36" s="650"/>
      <c r="AA36" s="650"/>
      <c r="AB36" s="649"/>
    </row>
    <row r="37" spans="1:28" ht="15" thickBot="1">
      <c r="A37" s="1230"/>
      <c r="B37" s="1232"/>
      <c r="C37" s="143" t="s">
        <v>289</v>
      </c>
      <c r="D37" s="487"/>
      <c r="E37" s="487"/>
      <c r="F37" s="487"/>
      <c r="G37" s="487"/>
      <c r="H37" s="487"/>
      <c r="I37" s="501"/>
      <c r="J37" s="771">
        <f>(J36/J34)*100</f>
        <v>30.494821634062141</v>
      </c>
      <c r="K37" s="506"/>
      <c r="L37" s="506"/>
      <c r="M37" s="506"/>
      <c r="N37" s="503"/>
      <c r="O37" s="503"/>
      <c r="P37" s="503"/>
      <c r="Q37" s="503"/>
      <c r="R37" s="503"/>
      <c r="S37" s="496"/>
      <c r="T37" s="771">
        <f>T36/T34*100</f>
        <v>31.476545842217483</v>
      </c>
      <c r="U37" s="488"/>
      <c r="V37" s="491"/>
      <c r="W37" s="491"/>
      <c r="Y37" s="910"/>
      <c r="Z37" s="650"/>
      <c r="AA37" s="650"/>
      <c r="AB37" s="649"/>
    </row>
    <row r="38" spans="1:28">
      <c r="A38" s="1230"/>
      <c r="B38" s="1242" t="s">
        <v>352</v>
      </c>
      <c r="C38" s="123" t="s">
        <v>344</v>
      </c>
      <c r="D38" s="492"/>
      <c r="E38" s="492"/>
      <c r="F38" s="492"/>
      <c r="G38" s="492"/>
      <c r="H38" s="492"/>
      <c r="I38" s="504"/>
      <c r="J38" s="494">
        <v>7120</v>
      </c>
      <c r="K38" s="505"/>
      <c r="L38" s="505"/>
      <c r="M38" s="505"/>
      <c r="N38" s="492"/>
      <c r="O38" s="492"/>
      <c r="P38" s="492"/>
      <c r="Q38" s="492"/>
      <c r="R38" s="492"/>
      <c r="S38" s="493"/>
      <c r="T38" s="494">
        <v>7764</v>
      </c>
      <c r="U38" s="493"/>
      <c r="V38" s="495"/>
      <c r="W38" s="495"/>
    </row>
    <row r="39" spans="1:28">
      <c r="A39" s="1230"/>
      <c r="B39" s="1231"/>
      <c r="C39" s="798" t="s">
        <v>345</v>
      </c>
      <c r="D39" s="482"/>
      <c r="E39" s="482"/>
      <c r="F39" s="482"/>
      <c r="G39" s="482"/>
      <c r="H39" s="482"/>
      <c r="I39" s="499"/>
      <c r="J39" s="485">
        <v>4815</v>
      </c>
      <c r="K39" s="500"/>
      <c r="L39" s="500"/>
      <c r="M39" s="500"/>
      <c r="N39" s="482"/>
      <c r="O39" s="482"/>
      <c r="P39" s="482"/>
      <c r="Q39" s="482"/>
      <c r="R39" s="482"/>
      <c r="S39" s="483"/>
      <c r="T39" s="485">
        <v>4899</v>
      </c>
      <c r="U39" s="483"/>
      <c r="V39" s="486"/>
      <c r="W39" s="486"/>
    </row>
    <row r="40" spans="1:28" ht="15" thickBot="1">
      <c r="A40" s="1230"/>
      <c r="B40" s="1231"/>
      <c r="C40" s="799" t="s">
        <v>346</v>
      </c>
      <c r="D40" s="482"/>
      <c r="E40" s="482"/>
      <c r="F40" s="482"/>
      <c r="G40" s="482"/>
      <c r="H40" s="482"/>
      <c r="I40" s="499"/>
      <c r="J40" s="485">
        <v>2305</v>
      </c>
      <c r="K40" s="500"/>
      <c r="L40" s="500"/>
      <c r="M40" s="500"/>
      <c r="N40" s="482"/>
      <c r="O40" s="482"/>
      <c r="P40" s="482"/>
      <c r="Q40" s="482"/>
      <c r="R40" s="482"/>
      <c r="S40" s="483"/>
      <c r="T40" s="485">
        <v>2865</v>
      </c>
      <c r="U40" s="483"/>
      <c r="V40" s="486"/>
      <c r="W40" s="486"/>
    </row>
    <row r="41" spans="1:28" ht="15" thickBot="1">
      <c r="A41" s="1230"/>
      <c r="B41" s="1232"/>
      <c r="C41" s="143" t="s">
        <v>289</v>
      </c>
      <c r="D41" s="487"/>
      <c r="E41" s="487"/>
      <c r="F41" s="487"/>
      <c r="G41" s="487"/>
      <c r="H41" s="487"/>
      <c r="I41" s="501"/>
      <c r="J41" s="771">
        <f>(J40/J38)*100</f>
        <v>32.373595505617978</v>
      </c>
      <c r="K41" s="506"/>
      <c r="L41" s="506"/>
      <c r="M41" s="506"/>
      <c r="N41" s="503"/>
      <c r="O41" s="503"/>
      <c r="P41" s="503"/>
      <c r="Q41" s="503"/>
      <c r="R41" s="503"/>
      <c r="S41" s="496"/>
      <c r="T41" s="771">
        <f>T40/T38*100</f>
        <v>36.901081916537862</v>
      </c>
      <c r="U41" s="488"/>
      <c r="V41" s="491"/>
      <c r="W41" s="491"/>
    </row>
    <row r="42" spans="1:28">
      <c r="A42" s="1230"/>
      <c r="B42" s="1242" t="s">
        <v>353</v>
      </c>
      <c r="C42" s="123" t="s">
        <v>344</v>
      </c>
      <c r="D42" s="492"/>
      <c r="E42" s="492"/>
      <c r="F42" s="492"/>
      <c r="G42" s="492"/>
      <c r="H42" s="492"/>
      <c r="I42" s="504"/>
      <c r="J42" s="494">
        <v>4330</v>
      </c>
      <c r="K42" s="505"/>
      <c r="L42" s="505"/>
      <c r="M42" s="505"/>
      <c r="N42" s="492"/>
      <c r="O42" s="492"/>
      <c r="P42" s="492"/>
      <c r="Q42" s="492"/>
      <c r="R42" s="492"/>
      <c r="S42" s="493"/>
      <c r="T42" s="494">
        <v>9597</v>
      </c>
      <c r="U42" s="493"/>
      <c r="V42" s="495"/>
      <c r="W42" s="495"/>
    </row>
    <row r="43" spans="1:28" ht="15" customHeight="1">
      <c r="A43" s="1230"/>
      <c r="B43" s="1231"/>
      <c r="C43" s="798" t="s">
        <v>345</v>
      </c>
      <c r="D43" s="482"/>
      <c r="E43" s="482"/>
      <c r="F43" s="482"/>
      <c r="G43" s="482"/>
      <c r="H43" s="482"/>
      <c r="I43" s="499"/>
      <c r="J43" s="485">
        <v>2800</v>
      </c>
      <c r="K43" s="500"/>
      <c r="L43" s="500"/>
      <c r="M43" s="500"/>
      <c r="N43" s="482"/>
      <c r="O43" s="482"/>
      <c r="P43" s="482"/>
      <c r="Q43" s="482"/>
      <c r="R43" s="482"/>
      <c r="S43" s="483"/>
      <c r="T43" s="485">
        <v>6153</v>
      </c>
      <c r="U43" s="483"/>
      <c r="V43" s="486"/>
      <c r="W43" s="486"/>
    </row>
    <row r="44" spans="1:28" ht="15" thickBot="1">
      <c r="A44" s="1230"/>
      <c r="B44" s="1231"/>
      <c r="C44" s="799" t="s">
        <v>346</v>
      </c>
      <c r="D44" s="482"/>
      <c r="E44" s="482"/>
      <c r="F44" s="482"/>
      <c r="G44" s="482"/>
      <c r="H44" s="482"/>
      <c r="I44" s="499"/>
      <c r="J44" s="485">
        <v>1530</v>
      </c>
      <c r="K44" s="500"/>
      <c r="L44" s="500"/>
      <c r="M44" s="500"/>
      <c r="N44" s="482"/>
      <c r="O44" s="482"/>
      <c r="P44" s="482"/>
      <c r="Q44" s="482"/>
      <c r="R44" s="482"/>
      <c r="S44" s="483"/>
      <c r="T44" s="485">
        <v>3444</v>
      </c>
      <c r="U44" s="483"/>
      <c r="V44" s="486"/>
      <c r="W44" s="486"/>
    </row>
    <row r="45" spans="1:28" ht="15" thickBot="1">
      <c r="A45" s="1230"/>
      <c r="B45" s="1232"/>
      <c r="C45" s="143" t="s">
        <v>289</v>
      </c>
      <c r="D45" s="487"/>
      <c r="E45" s="487"/>
      <c r="F45" s="487"/>
      <c r="G45" s="487"/>
      <c r="H45" s="487"/>
      <c r="I45" s="501"/>
      <c r="J45" s="771">
        <f>(J44/J42)*100</f>
        <v>35.334872979214779</v>
      </c>
      <c r="K45" s="506"/>
      <c r="L45" s="506"/>
      <c r="M45" s="506"/>
      <c r="N45" s="503"/>
      <c r="O45" s="503"/>
      <c r="P45" s="503"/>
      <c r="Q45" s="503"/>
      <c r="R45" s="503"/>
      <c r="S45" s="496"/>
      <c r="T45" s="771">
        <f>T44/T42*100</f>
        <v>35.886214442013134</v>
      </c>
      <c r="U45" s="488"/>
      <c r="V45" s="491"/>
      <c r="W45" s="491"/>
    </row>
    <row r="46" spans="1:28">
      <c r="A46" s="1230"/>
      <c r="B46" s="1242" t="s">
        <v>354</v>
      </c>
      <c r="C46" s="123" t="s">
        <v>344</v>
      </c>
      <c r="D46" s="492"/>
      <c r="E46" s="492"/>
      <c r="F46" s="492"/>
      <c r="G46" s="492"/>
      <c r="H46" s="492"/>
      <c r="I46" s="504"/>
      <c r="J46" s="494">
        <v>58985</v>
      </c>
      <c r="K46" s="505"/>
      <c r="L46" s="505"/>
      <c r="M46" s="505"/>
      <c r="N46" s="492"/>
      <c r="O46" s="492"/>
      <c r="P46" s="492"/>
      <c r="Q46" s="492"/>
      <c r="R46" s="492"/>
      <c r="S46" s="493"/>
      <c r="T46" s="494">
        <v>62970</v>
      </c>
      <c r="U46" s="493"/>
      <c r="V46" s="495"/>
      <c r="W46" s="495"/>
    </row>
    <row r="47" spans="1:28">
      <c r="A47" s="1230"/>
      <c r="B47" s="1231"/>
      <c r="C47" s="798" t="s">
        <v>345</v>
      </c>
      <c r="D47" s="482"/>
      <c r="E47" s="482"/>
      <c r="F47" s="482"/>
      <c r="G47" s="482"/>
      <c r="H47" s="482"/>
      <c r="I47" s="499"/>
      <c r="J47" s="485">
        <v>17785</v>
      </c>
      <c r="K47" s="500"/>
      <c r="L47" s="500"/>
      <c r="M47" s="500"/>
      <c r="N47" s="482"/>
      <c r="O47" s="482"/>
      <c r="P47" s="482"/>
      <c r="Q47" s="482"/>
      <c r="R47" s="482"/>
      <c r="S47" s="483"/>
      <c r="T47" s="485">
        <v>16788</v>
      </c>
      <c r="U47" s="483"/>
      <c r="V47" s="486"/>
      <c r="W47" s="486"/>
    </row>
    <row r="48" spans="1:28" ht="15" thickBot="1">
      <c r="A48" s="1230"/>
      <c r="B48" s="1231"/>
      <c r="C48" s="799" t="s">
        <v>346</v>
      </c>
      <c r="D48" s="482"/>
      <c r="E48" s="482"/>
      <c r="F48" s="482"/>
      <c r="G48" s="482"/>
      <c r="H48" s="482"/>
      <c r="I48" s="499"/>
      <c r="J48" s="485">
        <v>41200</v>
      </c>
      <c r="K48" s="500"/>
      <c r="L48" s="500"/>
      <c r="M48" s="500"/>
      <c r="N48" s="482"/>
      <c r="O48" s="482"/>
      <c r="P48" s="482"/>
      <c r="Q48" s="482"/>
      <c r="R48" s="482"/>
      <c r="S48" s="483"/>
      <c r="T48" s="485">
        <v>46179</v>
      </c>
      <c r="U48" s="483"/>
      <c r="V48" s="486"/>
      <c r="W48" s="486"/>
    </row>
    <row r="49" spans="1:28" ht="15" thickBot="1">
      <c r="A49" s="1230"/>
      <c r="B49" s="1232"/>
      <c r="C49" s="143" t="s">
        <v>289</v>
      </c>
      <c r="D49" s="487"/>
      <c r="E49" s="487"/>
      <c r="F49" s="487"/>
      <c r="G49" s="487"/>
      <c r="H49" s="487"/>
      <c r="I49" s="501"/>
      <c r="J49" s="770">
        <f>(J48/J46)*100</f>
        <v>69.848266508434335</v>
      </c>
      <c r="K49" s="506"/>
      <c r="L49" s="506"/>
      <c r="M49" s="506"/>
      <c r="N49" s="503"/>
      <c r="O49" s="503"/>
      <c r="P49" s="503"/>
      <c r="Q49" s="503"/>
      <c r="R49" s="503"/>
      <c r="S49" s="496"/>
      <c r="T49" s="770">
        <f>T48/T46*100</f>
        <v>73.334921391138636</v>
      </c>
      <c r="U49" s="488"/>
      <c r="V49" s="491"/>
      <c r="W49" s="491"/>
    </row>
    <row r="50" spans="1:28">
      <c r="A50" s="1230"/>
      <c r="B50" s="1242" t="s">
        <v>355</v>
      </c>
      <c r="C50" s="123" t="s">
        <v>344</v>
      </c>
      <c r="D50" s="492"/>
      <c r="E50" s="492"/>
      <c r="F50" s="492"/>
      <c r="G50" s="492"/>
      <c r="H50" s="492"/>
      <c r="I50" s="504"/>
      <c r="J50" s="494">
        <v>64740</v>
      </c>
      <c r="K50" s="505"/>
      <c r="L50" s="505"/>
      <c r="M50" s="505"/>
      <c r="N50" s="492"/>
      <c r="O50" s="492"/>
      <c r="P50" s="492"/>
      <c r="Q50" s="492"/>
      <c r="R50" s="492"/>
      <c r="S50" s="493"/>
      <c r="T50" s="494">
        <v>68376</v>
      </c>
      <c r="U50" s="493"/>
      <c r="V50" s="495"/>
      <c r="W50" s="495"/>
    </row>
    <row r="51" spans="1:28" ht="14.5" customHeight="1">
      <c r="A51" s="1230"/>
      <c r="B51" s="1231"/>
      <c r="C51" s="798" t="s">
        <v>345</v>
      </c>
      <c r="D51" s="482"/>
      <c r="E51" s="482"/>
      <c r="F51" s="482"/>
      <c r="G51" s="482"/>
      <c r="H51" s="482"/>
      <c r="I51" s="499"/>
      <c r="J51" s="485">
        <v>21375</v>
      </c>
      <c r="K51" s="500"/>
      <c r="L51" s="500"/>
      <c r="M51" s="500"/>
      <c r="N51" s="482"/>
      <c r="O51" s="482"/>
      <c r="P51" s="482"/>
      <c r="Q51" s="482"/>
      <c r="R51" s="482"/>
      <c r="S51" s="483"/>
      <c r="T51" s="485">
        <v>23502</v>
      </c>
      <c r="U51" s="483"/>
      <c r="V51" s="486"/>
      <c r="W51" s="486"/>
    </row>
    <row r="52" spans="1:28" ht="15" thickBot="1">
      <c r="A52" s="1230"/>
      <c r="B52" s="1231"/>
      <c r="C52" s="799" t="s">
        <v>346</v>
      </c>
      <c r="D52" s="482"/>
      <c r="E52" s="482"/>
      <c r="F52" s="482"/>
      <c r="G52" s="482"/>
      <c r="H52" s="482"/>
      <c r="I52" s="499"/>
      <c r="J52" s="485">
        <v>43370</v>
      </c>
      <c r="K52" s="500"/>
      <c r="L52" s="500"/>
      <c r="M52" s="500"/>
      <c r="N52" s="482"/>
      <c r="O52" s="482"/>
      <c r="P52" s="482"/>
      <c r="Q52" s="482"/>
      <c r="R52" s="482"/>
      <c r="S52" s="483"/>
      <c r="T52" s="485">
        <v>44874</v>
      </c>
      <c r="U52" s="483"/>
      <c r="V52" s="486"/>
      <c r="W52" s="486"/>
    </row>
    <row r="53" spans="1:28" ht="15" thickBot="1">
      <c r="A53" s="1230"/>
      <c r="B53" s="1232"/>
      <c r="C53" s="143" t="s">
        <v>289</v>
      </c>
      <c r="D53" s="487"/>
      <c r="E53" s="487"/>
      <c r="F53" s="487"/>
      <c r="G53" s="487"/>
      <c r="H53" s="487"/>
      <c r="I53" s="501"/>
      <c r="J53" s="770">
        <f>(J52/J50)*100</f>
        <v>66.991041087426623</v>
      </c>
      <c r="K53" s="506"/>
      <c r="L53" s="506"/>
      <c r="M53" s="506"/>
      <c r="N53" s="503"/>
      <c r="O53" s="503"/>
      <c r="P53" s="503"/>
      <c r="Q53" s="503"/>
      <c r="R53" s="503"/>
      <c r="S53" s="496"/>
      <c r="T53" s="770">
        <f>T52/T50*100</f>
        <v>65.628290628290628</v>
      </c>
      <c r="U53" s="488"/>
      <c r="V53" s="491"/>
      <c r="W53" s="491"/>
    </row>
    <row r="54" spans="1:28">
      <c r="A54" s="1230"/>
      <c r="B54" s="1242" t="s">
        <v>356</v>
      </c>
      <c r="C54" s="123" t="s">
        <v>344</v>
      </c>
      <c r="D54" s="492"/>
      <c r="E54" s="492"/>
      <c r="F54" s="492"/>
      <c r="G54" s="492"/>
      <c r="H54" s="492"/>
      <c r="I54" s="504"/>
      <c r="J54" s="494">
        <v>10905</v>
      </c>
      <c r="K54" s="505"/>
      <c r="L54" s="505"/>
      <c r="M54" s="505"/>
      <c r="N54" s="492"/>
      <c r="O54" s="492"/>
      <c r="P54" s="492"/>
      <c r="Q54" s="492"/>
      <c r="R54" s="492"/>
      <c r="S54" s="493"/>
      <c r="T54" s="494">
        <v>18837</v>
      </c>
      <c r="U54" s="493"/>
      <c r="V54" s="495"/>
      <c r="W54" s="495"/>
    </row>
    <row r="55" spans="1:28">
      <c r="A55" s="1230"/>
      <c r="B55" s="1231"/>
      <c r="C55" s="798" t="s">
        <v>345</v>
      </c>
      <c r="D55" s="482"/>
      <c r="E55" s="482"/>
      <c r="F55" s="482"/>
      <c r="G55" s="482"/>
      <c r="H55" s="482"/>
      <c r="I55" s="499"/>
      <c r="J55" s="485">
        <v>4030</v>
      </c>
      <c r="K55" s="500"/>
      <c r="L55" s="500"/>
      <c r="M55" s="500"/>
      <c r="N55" s="482"/>
      <c r="O55" s="482"/>
      <c r="P55" s="482"/>
      <c r="Q55" s="482"/>
      <c r="R55" s="482"/>
      <c r="S55" s="483"/>
      <c r="T55" s="485">
        <v>7362</v>
      </c>
      <c r="U55" s="483"/>
      <c r="V55" s="486"/>
      <c r="W55" s="486"/>
    </row>
    <row r="56" spans="1:28" ht="15" thickBot="1">
      <c r="A56" s="1230"/>
      <c r="B56" s="1231"/>
      <c r="C56" s="799" t="s">
        <v>346</v>
      </c>
      <c r="D56" s="482"/>
      <c r="E56" s="482"/>
      <c r="F56" s="482"/>
      <c r="G56" s="482"/>
      <c r="H56" s="482"/>
      <c r="I56" s="499"/>
      <c r="J56" s="485">
        <v>6880</v>
      </c>
      <c r="K56" s="500"/>
      <c r="L56" s="500"/>
      <c r="M56" s="500"/>
      <c r="N56" s="482"/>
      <c r="O56" s="482"/>
      <c r="P56" s="482"/>
      <c r="Q56" s="482"/>
      <c r="R56" s="482"/>
      <c r="S56" s="483"/>
      <c r="T56" s="485">
        <v>11478</v>
      </c>
      <c r="U56" s="483"/>
      <c r="V56" s="486"/>
      <c r="W56" s="486"/>
    </row>
    <row r="57" spans="1:28" ht="15" thickBot="1">
      <c r="A57" s="1230"/>
      <c r="B57" s="1232"/>
      <c r="C57" s="143" t="s">
        <v>289</v>
      </c>
      <c r="D57" s="487"/>
      <c r="E57" s="487"/>
      <c r="F57" s="487"/>
      <c r="G57" s="487"/>
      <c r="H57" s="487"/>
      <c r="I57" s="501"/>
      <c r="J57" s="770">
        <f>(J56/J54)*100</f>
        <v>63.090325538743699</v>
      </c>
      <c r="K57" s="506"/>
      <c r="L57" s="506"/>
      <c r="M57" s="506"/>
      <c r="N57" s="503"/>
      <c r="O57" s="503"/>
      <c r="P57" s="503"/>
      <c r="Q57" s="503"/>
      <c r="R57" s="503"/>
      <c r="S57" s="496"/>
      <c r="T57" s="770">
        <f>T56/T54*100</f>
        <v>60.933269628921806</v>
      </c>
      <c r="U57" s="488"/>
      <c r="V57" s="507"/>
      <c r="W57" s="507"/>
    </row>
    <row r="58" spans="1:28">
      <c r="A58" s="1230"/>
      <c r="B58" s="1242" t="s">
        <v>357</v>
      </c>
      <c r="C58" s="123" t="s">
        <v>344</v>
      </c>
      <c r="D58" s="508"/>
      <c r="E58" s="492"/>
      <c r="F58" s="492"/>
      <c r="G58" s="492"/>
      <c r="H58" s="492"/>
      <c r="I58" s="509"/>
      <c r="J58" s="494">
        <v>79385</v>
      </c>
      <c r="K58" s="505"/>
      <c r="L58" s="505"/>
      <c r="M58" s="505"/>
      <c r="N58" s="492"/>
      <c r="O58" s="492"/>
      <c r="P58" s="492"/>
      <c r="Q58" s="492"/>
      <c r="R58" s="492"/>
      <c r="S58" s="493"/>
      <c r="T58" s="494">
        <v>63024</v>
      </c>
      <c r="U58" s="510"/>
      <c r="V58" s="511"/>
      <c r="W58" s="511"/>
    </row>
    <row r="59" spans="1:28">
      <c r="A59" s="1230"/>
      <c r="B59" s="1231"/>
      <c r="C59" s="798" t="s">
        <v>345</v>
      </c>
      <c r="D59" s="482"/>
      <c r="E59" s="482"/>
      <c r="F59" s="482"/>
      <c r="G59" s="482"/>
      <c r="H59" s="482"/>
      <c r="I59" s="499"/>
      <c r="J59" s="485">
        <v>52205</v>
      </c>
      <c r="K59" s="500"/>
      <c r="L59" s="500"/>
      <c r="M59" s="500"/>
      <c r="N59" s="482"/>
      <c r="O59" s="482"/>
      <c r="P59" s="482"/>
      <c r="Q59" s="482"/>
      <c r="R59" s="482"/>
      <c r="S59" s="483"/>
      <c r="T59" s="485">
        <v>40503</v>
      </c>
      <c r="U59" s="483"/>
      <c r="V59" s="486"/>
      <c r="W59" s="486"/>
    </row>
    <row r="60" spans="1:28" ht="15" thickBot="1">
      <c r="A60" s="1230"/>
      <c r="B60" s="1231"/>
      <c r="C60" s="799" t="s">
        <v>346</v>
      </c>
      <c r="D60" s="482"/>
      <c r="E60" s="482"/>
      <c r="F60" s="482"/>
      <c r="G60" s="482"/>
      <c r="H60" s="482"/>
      <c r="I60" s="499"/>
      <c r="J60" s="485">
        <v>27185</v>
      </c>
      <c r="K60" s="500"/>
      <c r="L60" s="500"/>
      <c r="M60" s="500"/>
      <c r="N60" s="482"/>
      <c r="O60" s="482"/>
      <c r="P60" s="482"/>
      <c r="Q60" s="482"/>
      <c r="R60" s="482"/>
      <c r="S60" s="483"/>
      <c r="T60" s="485">
        <v>22521</v>
      </c>
      <c r="U60" s="483"/>
      <c r="V60" s="486"/>
      <c r="W60" s="486"/>
    </row>
    <row r="61" spans="1:28" ht="15" thickBot="1">
      <c r="A61" s="1230"/>
      <c r="B61" s="1232"/>
      <c r="C61" s="143" t="s">
        <v>289</v>
      </c>
      <c r="D61" s="487"/>
      <c r="E61" s="487"/>
      <c r="F61" s="487"/>
      <c r="G61" s="487"/>
      <c r="H61" s="487"/>
      <c r="I61" s="501"/>
      <c r="J61" s="771">
        <f>(J60/J58)*100</f>
        <v>34.244504629338039</v>
      </c>
      <c r="K61" s="506"/>
      <c r="L61" s="506"/>
      <c r="M61" s="506"/>
      <c r="N61" s="503"/>
      <c r="O61" s="503"/>
      <c r="P61" s="503"/>
      <c r="Q61" s="503"/>
      <c r="R61" s="503"/>
      <c r="S61" s="496"/>
      <c r="T61" s="771">
        <f>T60/T58*100</f>
        <v>35.734006092916985</v>
      </c>
      <c r="U61" s="488"/>
      <c r="V61" s="491"/>
      <c r="W61" s="491"/>
      <c r="X61" s="911"/>
      <c r="Z61" s="650"/>
      <c r="AA61" s="650"/>
      <c r="AB61" s="649"/>
    </row>
    <row r="62" spans="1:28">
      <c r="A62" s="1230"/>
      <c r="B62" s="1231" t="s">
        <v>358</v>
      </c>
      <c r="C62" s="121" t="s">
        <v>344</v>
      </c>
      <c r="D62" s="512"/>
      <c r="E62" s="492"/>
      <c r="F62" s="492"/>
      <c r="G62" s="492"/>
      <c r="H62" s="492"/>
      <c r="I62" s="513"/>
      <c r="J62" s="480">
        <v>26560</v>
      </c>
      <c r="K62" s="514"/>
      <c r="L62" s="514"/>
      <c r="M62" s="514"/>
      <c r="N62" s="515"/>
      <c r="O62" s="515"/>
      <c r="P62" s="515"/>
      <c r="Q62" s="515"/>
      <c r="R62" s="515"/>
      <c r="S62" s="479"/>
      <c r="T62" s="480">
        <v>27603</v>
      </c>
      <c r="U62" s="516"/>
      <c r="V62" s="517"/>
      <c r="W62" s="517"/>
      <c r="X62" s="911"/>
      <c r="Z62" s="650"/>
      <c r="AA62" s="650"/>
      <c r="AB62" s="649"/>
    </row>
    <row r="63" spans="1:28">
      <c r="A63" s="1230"/>
      <c r="B63" s="1231"/>
      <c r="C63" s="798" t="s">
        <v>345</v>
      </c>
      <c r="D63" s="482"/>
      <c r="E63" s="482"/>
      <c r="F63" s="482"/>
      <c r="G63" s="482"/>
      <c r="H63" s="482"/>
      <c r="I63" s="499"/>
      <c r="J63" s="485">
        <v>13535</v>
      </c>
      <c r="K63" s="500"/>
      <c r="L63" s="500"/>
      <c r="M63" s="500"/>
      <c r="N63" s="482"/>
      <c r="O63" s="482"/>
      <c r="P63" s="482"/>
      <c r="Q63" s="482"/>
      <c r="R63" s="482"/>
      <c r="S63" s="483"/>
      <c r="T63" s="485">
        <v>13014</v>
      </c>
      <c r="U63" s="483"/>
      <c r="V63" s="486"/>
      <c r="W63" s="486"/>
      <c r="X63" s="911"/>
      <c r="Z63" s="650"/>
      <c r="AA63" s="650"/>
      <c r="AB63" s="649"/>
    </row>
    <row r="64" spans="1:28" ht="15" thickBot="1">
      <c r="A64" s="1230"/>
      <c r="B64" s="1231"/>
      <c r="C64" s="799" t="s">
        <v>346</v>
      </c>
      <c r="D64" s="482"/>
      <c r="E64" s="482"/>
      <c r="F64" s="482"/>
      <c r="G64" s="482"/>
      <c r="H64" s="482"/>
      <c r="I64" s="499"/>
      <c r="J64" s="485">
        <v>13030</v>
      </c>
      <c r="K64" s="500"/>
      <c r="L64" s="500"/>
      <c r="M64" s="500"/>
      <c r="N64" s="482"/>
      <c r="O64" s="482"/>
      <c r="P64" s="482"/>
      <c r="Q64" s="482"/>
      <c r="R64" s="482"/>
      <c r="S64" s="483"/>
      <c r="T64" s="485">
        <v>14592</v>
      </c>
      <c r="U64" s="483"/>
      <c r="V64" s="486"/>
      <c r="W64" s="486"/>
      <c r="X64" s="911"/>
      <c r="Z64" s="650"/>
      <c r="AA64" s="650"/>
      <c r="AB64" s="649"/>
    </row>
    <row r="65" spans="1:28" ht="15" thickBot="1">
      <c r="A65" s="1230"/>
      <c r="B65" s="1231"/>
      <c r="C65" s="144" t="s">
        <v>289</v>
      </c>
      <c r="D65" s="518"/>
      <c r="E65" s="487"/>
      <c r="F65" s="487"/>
      <c r="G65" s="487"/>
      <c r="H65" s="487"/>
      <c r="I65" s="519"/>
      <c r="J65" s="776">
        <f>(J64/J62)*100</f>
        <v>49.058734939759034</v>
      </c>
      <c r="K65" s="520"/>
      <c r="L65" s="520"/>
      <c r="M65" s="520"/>
      <c r="N65" s="521"/>
      <c r="O65" s="521"/>
      <c r="P65" s="521"/>
      <c r="Q65" s="521"/>
      <c r="R65" s="521"/>
      <c r="S65" s="522"/>
      <c r="T65" s="776">
        <f>T64/T62*100</f>
        <v>52.863819150092382</v>
      </c>
      <c r="U65" s="523"/>
      <c r="V65" s="524"/>
      <c r="W65" s="524"/>
      <c r="X65" s="911"/>
      <c r="Z65" s="650"/>
      <c r="AA65" s="650"/>
      <c r="AB65" s="649"/>
    </row>
    <row r="66" spans="1:28">
      <c r="A66" s="1230"/>
      <c r="B66" s="1242" t="s">
        <v>359</v>
      </c>
      <c r="C66" s="123" t="s">
        <v>344</v>
      </c>
      <c r="D66" s="508"/>
      <c r="E66" s="492"/>
      <c r="F66" s="492"/>
      <c r="G66" s="492"/>
      <c r="H66" s="492"/>
      <c r="I66" s="509"/>
      <c r="J66" s="494">
        <v>49405</v>
      </c>
      <c r="K66" s="505"/>
      <c r="L66" s="505"/>
      <c r="M66" s="505"/>
      <c r="N66" s="492"/>
      <c r="O66" s="492"/>
      <c r="P66" s="492"/>
      <c r="Q66" s="492"/>
      <c r="R66" s="492"/>
      <c r="S66" s="493"/>
      <c r="T66" s="494">
        <v>76584</v>
      </c>
      <c r="U66" s="510"/>
      <c r="V66" s="525"/>
      <c r="W66" s="525"/>
      <c r="X66" s="911"/>
      <c r="Z66" s="650"/>
      <c r="AA66" s="650"/>
      <c r="AB66" s="649"/>
    </row>
    <row r="67" spans="1:28">
      <c r="A67" s="1230"/>
      <c r="B67" s="1231"/>
      <c r="C67" s="798" t="s">
        <v>345</v>
      </c>
      <c r="D67" s="482"/>
      <c r="E67" s="482"/>
      <c r="F67" s="482"/>
      <c r="G67" s="482"/>
      <c r="H67" s="482"/>
      <c r="I67" s="499"/>
      <c r="J67" s="485">
        <v>22310</v>
      </c>
      <c r="K67" s="500"/>
      <c r="L67" s="500"/>
      <c r="M67" s="500"/>
      <c r="N67" s="482"/>
      <c r="O67" s="482"/>
      <c r="P67" s="482"/>
      <c r="Q67" s="482"/>
      <c r="R67" s="482"/>
      <c r="S67" s="483"/>
      <c r="T67" s="485">
        <v>36339</v>
      </c>
      <c r="U67" s="483"/>
      <c r="V67" s="526"/>
      <c r="W67" s="526"/>
      <c r="X67" s="911"/>
      <c r="Z67" s="650"/>
      <c r="AA67" s="650"/>
      <c r="AB67" s="649"/>
    </row>
    <row r="68" spans="1:28" ht="15" thickBot="1">
      <c r="A68" s="1230"/>
      <c r="B68" s="1231"/>
      <c r="C68" s="799" t="s">
        <v>346</v>
      </c>
      <c r="D68" s="482"/>
      <c r="E68" s="482"/>
      <c r="F68" s="482"/>
      <c r="G68" s="482"/>
      <c r="H68" s="482"/>
      <c r="I68" s="499"/>
      <c r="J68" s="485">
        <v>27095</v>
      </c>
      <c r="K68" s="500"/>
      <c r="L68" s="500"/>
      <c r="M68" s="500"/>
      <c r="N68" s="482"/>
      <c r="O68" s="482"/>
      <c r="P68" s="482"/>
      <c r="Q68" s="482"/>
      <c r="R68" s="482"/>
      <c r="S68" s="483"/>
      <c r="T68" s="485">
        <v>40245</v>
      </c>
      <c r="U68" s="483"/>
      <c r="V68" s="526"/>
      <c r="W68" s="526"/>
      <c r="X68" s="911"/>
      <c r="Z68" s="650"/>
      <c r="AA68" s="650"/>
      <c r="AB68" s="649"/>
    </row>
    <row r="69" spans="1:28" ht="15" thickBot="1">
      <c r="A69" s="1230"/>
      <c r="B69" s="1232"/>
      <c r="C69" s="143" t="s">
        <v>289</v>
      </c>
      <c r="D69" s="487"/>
      <c r="E69" s="487"/>
      <c r="F69" s="487"/>
      <c r="G69" s="487"/>
      <c r="H69" s="487"/>
      <c r="I69" s="501"/>
      <c r="J69" s="775">
        <f>(J68/J66)*100</f>
        <v>54.842627264446918</v>
      </c>
      <c r="K69" s="506"/>
      <c r="L69" s="506"/>
      <c r="M69" s="506"/>
      <c r="N69" s="503"/>
      <c r="O69" s="503"/>
      <c r="P69" s="503"/>
      <c r="Q69" s="503"/>
      <c r="R69" s="503"/>
      <c r="S69" s="496"/>
      <c r="T69" s="775">
        <f>T68/T66*100</f>
        <v>52.550141021623318</v>
      </c>
      <c r="U69" s="488"/>
      <c r="V69" s="527"/>
      <c r="W69" s="527"/>
      <c r="Y69" s="910"/>
      <c r="Z69" s="650"/>
      <c r="AA69" s="650"/>
      <c r="AB69" s="649"/>
    </row>
    <row r="70" spans="1:28">
      <c r="A70" s="1230"/>
      <c r="B70" s="1231" t="s">
        <v>360</v>
      </c>
      <c r="C70" s="121" t="s">
        <v>344</v>
      </c>
      <c r="D70" s="512"/>
      <c r="E70" s="492"/>
      <c r="F70" s="492"/>
      <c r="G70" s="492"/>
      <c r="H70" s="492"/>
      <c r="I70" s="513"/>
      <c r="J70" s="480">
        <v>24635</v>
      </c>
      <c r="K70" s="514"/>
      <c r="L70" s="514"/>
      <c r="M70" s="514"/>
      <c r="N70" s="515"/>
      <c r="O70" s="515"/>
      <c r="P70" s="515"/>
      <c r="Q70" s="515"/>
      <c r="R70" s="515"/>
      <c r="S70" s="479"/>
      <c r="T70" s="480">
        <v>38817</v>
      </c>
      <c r="U70" s="516"/>
      <c r="V70" s="517"/>
      <c r="W70" s="517"/>
      <c r="Y70" s="910"/>
      <c r="Z70" s="650"/>
      <c r="AA70" s="650"/>
      <c r="AB70" s="649"/>
    </row>
    <row r="71" spans="1:28">
      <c r="A71" s="1230"/>
      <c r="B71" s="1231"/>
      <c r="C71" s="798" t="s">
        <v>345</v>
      </c>
      <c r="D71" s="482"/>
      <c r="E71" s="482"/>
      <c r="F71" s="482"/>
      <c r="G71" s="482"/>
      <c r="H71" s="482"/>
      <c r="I71" s="499"/>
      <c r="J71" s="485">
        <v>17085</v>
      </c>
      <c r="K71" s="500"/>
      <c r="L71" s="500"/>
      <c r="M71" s="500"/>
      <c r="N71" s="482"/>
      <c r="O71" s="482"/>
      <c r="P71" s="482"/>
      <c r="Q71" s="482"/>
      <c r="R71" s="482"/>
      <c r="S71" s="483"/>
      <c r="T71" s="485">
        <v>27291</v>
      </c>
      <c r="U71" s="483"/>
      <c r="V71" s="486"/>
      <c r="W71" s="486"/>
      <c r="Y71" s="910"/>
      <c r="Z71" s="650"/>
      <c r="AA71" s="650"/>
      <c r="AB71" s="649"/>
    </row>
    <row r="72" spans="1:28" ht="15" thickBot="1">
      <c r="A72" s="1230"/>
      <c r="B72" s="1231"/>
      <c r="C72" s="799" t="s">
        <v>346</v>
      </c>
      <c r="D72" s="482"/>
      <c r="E72" s="482"/>
      <c r="F72" s="482"/>
      <c r="G72" s="482"/>
      <c r="H72" s="482"/>
      <c r="I72" s="499"/>
      <c r="J72" s="485">
        <v>7550</v>
      </c>
      <c r="K72" s="500"/>
      <c r="L72" s="500"/>
      <c r="M72" s="500"/>
      <c r="N72" s="482"/>
      <c r="O72" s="482"/>
      <c r="P72" s="482"/>
      <c r="Q72" s="482"/>
      <c r="R72" s="482"/>
      <c r="S72" s="483"/>
      <c r="T72" s="485">
        <v>11526</v>
      </c>
      <c r="U72" s="483"/>
      <c r="V72" s="486"/>
      <c r="W72" s="486"/>
      <c r="Y72" s="910"/>
      <c r="Z72" s="650"/>
      <c r="AA72" s="650"/>
      <c r="AB72" s="649"/>
    </row>
    <row r="73" spans="1:28" ht="15" thickBot="1">
      <c r="A73" s="1230"/>
      <c r="B73" s="1232"/>
      <c r="C73" s="143" t="s">
        <v>289</v>
      </c>
      <c r="D73" s="487"/>
      <c r="E73" s="487"/>
      <c r="F73" s="487"/>
      <c r="G73" s="487"/>
      <c r="H73" s="487"/>
      <c r="I73" s="501"/>
      <c r="J73" s="771">
        <f>(J72/J70)*100</f>
        <v>30.647452811041205</v>
      </c>
      <c r="K73" s="506"/>
      <c r="L73" s="506"/>
      <c r="M73" s="506"/>
      <c r="N73" s="503"/>
      <c r="O73" s="503"/>
      <c r="P73" s="503"/>
      <c r="Q73" s="503"/>
      <c r="R73" s="503"/>
      <c r="S73" s="496"/>
      <c r="T73" s="771">
        <f>T72/T70*100</f>
        <v>29.69317567045367</v>
      </c>
      <c r="U73" s="488"/>
      <c r="V73" s="491"/>
      <c r="W73" s="491"/>
      <c r="Y73" s="910"/>
      <c r="Z73" s="650"/>
      <c r="AA73" s="650"/>
      <c r="AB73" s="649"/>
    </row>
    <row r="74" spans="1:28">
      <c r="A74" s="1230"/>
      <c r="B74" s="1242" t="s">
        <v>361</v>
      </c>
      <c r="C74" s="123" t="s">
        <v>344</v>
      </c>
      <c r="D74" s="508"/>
      <c r="E74" s="492"/>
      <c r="F74" s="492"/>
      <c r="G74" s="492"/>
      <c r="H74" s="492"/>
      <c r="I74" s="509"/>
      <c r="J74" s="494">
        <v>32360</v>
      </c>
      <c r="K74" s="505"/>
      <c r="L74" s="505"/>
      <c r="M74" s="505"/>
      <c r="N74" s="492"/>
      <c r="O74" s="492"/>
      <c r="P74" s="492"/>
      <c r="Q74" s="492"/>
      <c r="R74" s="492"/>
      <c r="S74" s="493"/>
      <c r="T74" s="494">
        <v>19788</v>
      </c>
      <c r="U74" s="510"/>
      <c r="V74" s="511"/>
      <c r="W74" s="511"/>
      <c r="Y74" s="910"/>
      <c r="Z74" s="650"/>
      <c r="AA74" s="650"/>
      <c r="AB74" s="649"/>
    </row>
    <row r="75" spans="1:28">
      <c r="A75" s="1230"/>
      <c r="B75" s="1231"/>
      <c r="C75" s="798" t="s">
        <v>345</v>
      </c>
      <c r="D75" s="482"/>
      <c r="E75" s="482"/>
      <c r="F75" s="482"/>
      <c r="G75" s="482"/>
      <c r="H75" s="482"/>
      <c r="I75" s="499"/>
      <c r="J75" s="485">
        <v>13270</v>
      </c>
      <c r="K75" s="500"/>
      <c r="L75" s="500"/>
      <c r="M75" s="500"/>
      <c r="N75" s="482"/>
      <c r="O75" s="482"/>
      <c r="P75" s="482"/>
      <c r="Q75" s="482"/>
      <c r="R75" s="482"/>
      <c r="S75" s="483"/>
      <c r="T75" s="485">
        <v>6291</v>
      </c>
      <c r="U75" s="483"/>
      <c r="V75" s="486"/>
      <c r="W75" s="486"/>
      <c r="Y75" s="910"/>
      <c r="Z75" s="650"/>
      <c r="AA75" s="650"/>
      <c r="AB75" s="649"/>
    </row>
    <row r="76" spans="1:28" ht="15" thickBot="1">
      <c r="A76" s="1230"/>
      <c r="B76" s="1231"/>
      <c r="C76" s="799" t="s">
        <v>346</v>
      </c>
      <c r="D76" s="482"/>
      <c r="E76" s="482"/>
      <c r="F76" s="482"/>
      <c r="G76" s="482"/>
      <c r="H76" s="482"/>
      <c r="I76" s="499"/>
      <c r="J76" s="485">
        <v>19090</v>
      </c>
      <c r="K76" s="500"/>
      <c r="L76" s="500"/>
      <c r="M76" s="500"/>
      <c r="N76" s="482"/>
      <c r="O76" s="482"/>
      <c r="P76" s="482"/>
      <c r="Q76" s="482"/>
      <c r="R76" s="482"/>
      <c r="S76" s="483"/>
      <c r="T76" s="485">
        <v>13497</v>
      </c>
      <c r="U76" s="483"/>
      <c r="V76" s="486"/>
      <c r="W76" s="486"/>
      <c r="Y76" s="910"/>
      <c r="Z76" s="650"/>
      <c r="AA76" s="650"/>
      <c r="AB76" s="649"/>
    </row>
    <row r="77" spans="1:28" ht="15" thickBot="1">
      <c r="A77" s="1230"/>
      <c r="B77" s="1232"/>
      <c r="C77" s="143" t="s">
        <v>289</v>
      </c>
      <c r="D77" s="487"/>
      <c r="E77" s="487"/>
      <c r="F77" s="487"/>
      <c r="G77" s="487"/>
      <c r="H77" s="487"/>
      <c r="I77" s="501"/>
      <c r="J77" s="775">
        <f>(J76/J74)*100</f>
        <v>58.992583436341164</v>
      </c>
      <c r="K77" s="506"/>
      <c r="L77" s="506"/>
      <c r="M77" s="506"/>
      <c r="N77" s="503"/>
      <c r="O77" s="503"/>
      <c r="P77" s="503"/>
      <c r="Q77" s="503"/>
      <c r="R77" s="503"/>
      <c r="S77" s="496"/>
      <c r="T77" s="770">
        <f>T76/T74*100</f>
        <v>68.208004851425102</v>
      </c>
      <c r="U77" s="488"/>
      <c r="V77" s="491"/>
      <c r="W77" s="491"/>
      <c r="Y77" s="910"/>
      <c r="Z77" s="650"/>
      <c r="AA77" s="650"/>
      <c r="AB77" s="649"/>
    </row>
    <row r="78" spans="1:28">
      <c r="A78" s="1230"/>
      <c r="B78" s="1242" t="s">
        <v>362</v>
      </c>
      <c r="C78" s="123" t="s">
        <v>344</v>
      </c>
      <c r="D78" s="508"/>
      <c r="E78" s="492"/>
      <c r="F78" s="492"/>
      <c r="G78" s="492"/>
      <c r="H78" s="492"/>
      <c r="I78" s="509"/>
      <c r="J78" s="494">
        <v>825</v>
      </c>
      <c r="K78" s="505"/>
      <c r="L78" s="505"/>
      <c r="M78" s="505"/>
      <c r="N78" s="492"/>
      <c r="O78" s="492"/>
      <c r="P78" s="492"/>
      <c r="Q78" s="492"/>
      <c r="R78" s="492"/>
      <c r="S78" s="493"/>
      <c r="T78" s="494">
        <v>26550</v>
      </c>
      <c r="U78" s="510"/>
      <c r="V78" s="511"/>
      <c r="W78" s="511"/>
      <c r="Y78" s="910"/>
      <c r="Z78" s="650"/>
      <c r="AA78" s="650"/>
      <c r="AB78" s="649"/>
    </row>
    <row r="79" spans="1:28">
      <c r="A79" s="1230"/>
      <c r="B79" s="1231"/>
      <c r="C79" s="798" t="s">
        <v>345</v>
      </c>
      <c r="D79" s="482"/>
      <c r="E79" s="482"/>
      <c r="F79" s="482"/>
      <c r="G79" s="482"/>
      <c r="H79" s="482"/>
      <c r="I79" s="499"/>
      <c r="J79" s="485">
        <v>555</v>
      </c>
      <c r="K79" s="500"/>
      <c r="L79" s="500"/>
      <c r="M79" s="500"/>
      <c r="N79" s="482"/>
      <c r="O79" s="482"/>
      <c r="P79" s="482"/>
      <c r="Q79" s="482"/>
      <c r="R79" s="482"/>
      <c r="S79" s="483"/>
      <c r="T79" s="485">
        <v>12906</v>
      </c>
      <c r="U79" s="483"/>
      <c r="V79" s="486"/>
      <c r="W79" s="486"/>
      <c r="Y79" s="910"/>
      <c r="Z79" s="650"/>
      <c r="AA79" s="650"/>
      <c r="AB79" s="649"/>
    </row>
    <row r="80" spans="1:28" ht="15" thickBot="1">
      <c r="A80" s="1230"/>
      <c r="B80" s="1231"/>
      <c r="C80" s="799" t="s">
        <v>346</v>
      </c>
      <c r="D80" s="482"/>
      <c r="E80" s="482"/>
      <c r="F80" s="482"/>
      <c r="G80" s="482"/>
      <c r="H80" s="482"/>
      <c r="I80" s="499"/>
      <c r="J80" s="485">
        <v>265</v>
      </c>
      <c r="K80" s="500"/>
      <c r="L80" s="500"/>
      <c r="M80" s="500"/>
      <c r="N80" s="482"/>
      <c r="O80" s="482"/>
      <c r="P80" s="482"/>
      <c r="Q80" s="482"/>
      <c r="R80" s="482"/>
      <c r="S80" s="483"/>
      <c r="T80" s="485">
        <v>13647</v>
      </c>
      <c r="U80" s="483"/>
      <c r="V80" s="486"/>
      <c r="W80" s="486"/>
      <c r="Y80" s="910"/>
      <c r="Z80" s="650"/>
      <c r="AA80" s="650"/>
      <c r="AB80" s="649"/>
    </row>
    <row r="81" spans="1:28" ht="15" thickBot="1">
      <c r="A81" s="1230"/>
      <c r="B81" s="1232"/>
      <c r="C81" s="143" t="s">
        <v>289</v>
      </c>
      <c r="D81" s="487"/>
      <c r="E81" s="487"/>
      <c r="F81" s="487"/>
      <c r="G81" s="487"/>
      <c r="H81" s="487"/>
      <c r="I81" s="501"/>
      <c r="J81" s="771">
        <f>(J80/J78)*100</f>
        <v>32.121212121212125</v>
      </c>
      <c r="K81" s="506"/>
      <c r="L81" s="506"/>
      <c r="M81" s="506"/>
      <c r="N81" s="503"/>
      <c r="O81" s="503"/>
      <c r="P81" s="503"/>
      <c r="Q81" s="503"/>
      <c r="R81" s="503"/>
      <c r="S81" s="496"/>
      <c r="T81" s="775">
        <f>T80/T78*100</f>
        <v>51.401129943502823</v>
      </c>
      <c r="U81" s="488"/>
      <c r="V81" s="491"/>
      <c r="W81" s="491"/>
      <c r="Y81" s="910"/>
      <c r="Z81" s="650"/>
      <c r="AA81" s="650"/>
      <c r="AB81" s="649"/>
    </row>
    <row r="82" spans="1:28">
      <c r="A82" s="1230"/>
      <c r="B82" s="1242" t="s">
        <v>363</v>
      </c>
      <c r="C82" s="123" t="s">
        <v>344</v>
      </c>
      <c r="D82" s="508"/>
      <c r="E82" s="492"/>
      <c r="F82" s="492"/>
      <c r="G82" s="492"/>
      <c r="H82" s="492"/>
      <c r="I82" s="509"/>
      <c r="J82" s="494">
        <v>36795</v>
      </c>
      <c r="K82" s="505"/>
      <c r="L82" s="505"/>
      <c r="M82" s="505"/>
      <c r="N82" s="492"/>
      <c r="O82" s="492"/>
      <c r="P82" s="492"/>
      <c r="Q82" s="492"/>
      <c r="R82" s="492"/>
      <c r="S82" s="493"/>
      <c r="T82" s="494">
        <v>22116</v>
      </c>
      <c r="U82" s="510"/>
      <c r="V82" s="511"/>
      <c r="W82" s="511"/>
      <c r="Y82" s="910"/>
      <c r="Z82" s="650"/>
      <c r="AA82" s="650"/>
      <c r="AB82" s="649"/>
    </row>
    <row r="83" spans="1:28" ht="14.5" customHeight="1">
      <c r="A83" s="1230"/>
      <c r="B83" s="1231"/>
      <c r="C83" s="798" t="s">
        <v>345</v>
      </c>
      <c r="D83" s="482"/>
      <c r="E83" s="482"/>
      <c r="F83" s="482"/>
      <c r="G83" s="482"/>
      <c r="H83" s="482"/>
      <c r="I83" s="499"/>
      <c r="J83" s="485">
        <v>26950</v>
      </c>
      <c r="K83" s="500"/>
      <c r="L83" s="500"/>
      <c r="M83" s="500"/>
      <c r="N83" s="482"/>
      <c r="O83" s="482"/>
      <c r="P83" s="482"/>
      <c r="Q83" s="482"/>
      <c r="R83" s="482"/>
      <c r="S83" s="483"/>
      <c r="T83" s="485">
        <v>15141</v>
      </c>
      <c r="U83" s="483"/>
      <c r="V83" s="486"/>
      <c r="W83" s="486"/>
      <c r="Y83" s="910"/>
      <c r="Z83" s="650"/>
      <c r="AA83" s="650"/>
      <c r="AB83" s="649"/>
    </row>
    <row r="84" spans="1:28" ht="15" thickBot="1">
      <c r="A84" s="1230"/>
      <c r="B84" s="1231"/>
      <c r="C84" s="799" t="s">
        <v>346</v>
      </c>
      <c r="D84" s="482"/>
      <c r="E84" s="482"/>
      <c r="F84" s="482"/>
      <c r="G84" s="482"/>
      <c r="H84" s="482"/>
      <c r="I84" s="499"/>
      <c r="J84" s="485">
        <v>9845</v>
      </c>
      <c r="K84" s="500"/>
      <c r="L84" s="500"/>
      <c r="M84" s="500"/>
      <c r="N84" s="482"/>
      <c r="O84" s="482"/>
      <c r="P84" s="482"/>
      <c r="Q84" s="482"/>
      <c r="R84" s="482"/>
      <c r="S84" s="483"/>
      <c r="T84" s="485">
        <v>6975</v>
      </c>
      <c r="U84" s="483"/>
      <c r="V84" s="486"/>
      <c r="W84" s="486"/>
      <c r="Y84" s="910"/>
      <c r="Z84" s="650"/>
      <c r="AA84" s="650"/>
      <c r="AB84" s="649"/>
    </row>
    <row r="85" spans="1:28" ht="15" thickBot="1">
      <c r="A85" s="1230"/>
      <c r="B85" s="1232"/>
      <c r="C85" s="143" t="s">
        <v>289</v>
      </c>
      <c r="D85" s="487"/>
      <c r="E85" s="487"/>
      <c r="F85" s="487"/>
      <c r="G85" s="487"/>
      <c r="H85" s="487"/>
      <c r="I85" s="501"/>
      <c r="J85" s="771">
        <f>(J84/J82)*100</f>
        <v>26.756352765321374</v>
      </c>
      <c r="K85" s="506"/>
      <c r="L85" s="506"/>
      <c r="M85" s="506"/>
      <c r="N85" s="503"/>
      <c r="O85" s="503"/>
      <c r="P85" s="503"/>
      <c r="Q85" s="503"/>
      <c r="R85" s="503"/>
      <c r="S85" s="496"/>
      <c r="T85" s="771">
        <f>T84/T82*100</f>
        <v>31.538252848616388</v>
      </c>
      <c r="U85" s="488"/>
      <c r="V85" s="491"/>
      <c r="W85" s="491"/>
      <c r="Y85" s="910"/>
      <c r="Z85" s="650"/>
      <c r="AA85" s="650"/>
      <c r="AB85" s="649"/>
    </row>
    <row r="86" spans="1:28">
      <c r="A86" s="1230"/>
      <c r="B86" s="1242" t="s">
        <v>364</v>
      </c>
      <c r="C86" s="123" t="s">
        <v>344</v>
      </c>
      <c r="D86" s="508"/>
      <c r="E86" s="492"/>
      <c r="F86" s="492"/>
      <c r="G86" s="492"/>
      <c r="H86" s="492"/>
      <c r="I86" s="509"/>
      <c r="J86" s="494">
        <v>9075</v>
      </c>
      <c r="K86" s="505"/>
      <c r="L86" s="505"/>
      <c r="M86" s="505"/>
      <c r="N86" s="492"/>
      <c r="O86" s="492"/>
      <c r="P86" s="492"/>
      <c r="Q86" s="492"/>
      <c r="R86" s="492"/>
      <c r="S86" s="493"/>
      <c r="T86" s="494">
        <v>4062</v>
      </c>
      <c r="U86" s="510"/>
      <c r="V86" s="511"/>
      <c r="W86" s="511"/>
      <c r="Y86" s="910"/>
      <c r="Z86" s="650"/>
      <c r="AA86" s="650"/>
      <c r="AB86" s="649"/>
    </row>
    <row r="87" spans="1:28">
      <c r="A87" s="1230"/>
      <c r="B87" s="1231"/>
      <c r="C87" s="798" t="s">
        <v>345</v>
      </c>
      <c r="D87" s="482"/>
      <c r="E87" s="482"/>
      <c r="F87" s="482"/>
      <c r="G87" s="482"/>
      <c r="H87" s="482"/>
      <c r="I87" s="499"/>
      <c r="J87" s="485">
        <v>7530</v>
      </c>
      <c r="K87" s="500"/>
      <c r="L87" s="500"/>
      <c r="M87" s="500"/>
      <c r="N87" s="482"/>
      <c r="O87" s="482"/>
      <c r="P87" s="482"/>
      <c r="Q87" s="482"/>
      <c r="R87" s="482"/>
      <c r="S87" s="483"/>
      <c r="T87" s="485">
        <v>3405</v>
      </c>
      <c r="U87" s="483"/>
      <c r="V87" s="486"/>
      <c r="W87" s="486"/>
      <c r="Y87" s="910"/>
      <c r="Z87" s="650"/>
      <c r="AA87" s="650"/>
      <c r="AB87" s="649"/>
    </row>
    <row r="88" spans="1:28" ht="15" thickBot="1">
      <c r="A88" s="1230"/>
      <c r="B88" s="1231"/>
      <c r="C88" s="799" t="s">
        <v>346</v>
      </c>
      <c r="D88" s="482"/>
      <c r="E88" s="482"/>
      <c r="F88" s="482"/>
      <c r="G88" s="482"/>
      <c r="H88" s="482"/>
      <c r="I88" s="499"/>
      <c r="J88" s="485">
        <v>1550</v>
      </c>
      <c r="K88" s="500"/>
      <c r="L88" s="500"/>
      <c r="M88" s="500"/>
      <c r="N88" s="482"/>
      <c r="O88" s="482"/>
      <c r="P88" s="482"/>
      <c r="Q88" s="482"/>
      <c r="R88" s="482"/>
      <c r="S88" s="483"/>
      <c r="T88" s="485">
        <v>657</v>
      </c>
      <c r="U88" s="483"/>
      <c r="V88" s="486"/>
      <c r="W88" s="486"/>
      <c r="Y88" s="910"/>
      <c r="Z88" s="650"/>
      <c r="AA88" s="650"/>
      <c r="AB88" s="649"/>
    </row>
    <row r="89" spans="1:28" ht="15" thickBot="1">
      <c r="A89" s="1230"/>
      <c r="B89" s="1232"/>
      <c r="C89" s="143" t="s">
        <v>289</v>
      </c>
      <c r="D89" s="487"/>
      <c r="E89" s="487"/>
      <c r="F89" s="487"/>
      <c r="G89" s="487"/>
      <c r="H89" s="487"/>
      <c r="I89" s="501"/>
      <c r="J89" s="771">
        <f>(J88/J86)*100</f>
        <v>17.079889807162534</v>
      </c>
      <c r="K89" s="506"/>
      <c r="L89" s="506"/>
      <c r="M89" s="506"/>
      <c r="N89" s="503"/>
      <c r="O89" s="503"/>
      <c r="P89" s="503"/>
      <c r="Q89" s="503"/>
      <c r="R89" s="503"/>
      <c r="S89" s="496"/>
      <c r="T89" s="771">
        <f>T88/T86*100</f>
        <v>16.174298375184637</v>
      </c>
      <c r="U89" s="488"/>
      <c r="V89" s="491"/>
      <c r="W89" s="491"/>
      <c r="Y89" s="910"/>
      <c r="Z89" s="650"/>
      <c r="AA89" s="650"/>
      <c r="AB89" s="649"/>
    </row>
    <row r="90" spans="1:28">
      <c r="A90" s="1230"/>
      <c r="B90" s="1242" t="s">
        <v>365</v>
      </c>
      <c r="C90" s="123" t="s">
        <v>344</v>
      </c>
      <c r="D90" s="508"/>
      <c r="E90" s="492"/>
      <c r="F90" s="492"/>
      <c r="G90" s="492"/>
      <c r="H90" s="492"/>
      <c r="I90" s="509"/>
      <c r="J90" s="494">
        <v>8000</v>
      </c>
      <c r="K90" s="505"/>
      <c r="L90" s="505"/>
      <c r="M90" s="505"/>
      <c r="N90" s="492"/>
      <c r="O90" s="492"/>
      <c r="P90" s="492"/>
      <c r="Q90" s="492"/>
      <c r="R90" s="492"/>
      <c r="S90" s="493"/>
      <c r="T90" s="494">
        <v>8994</v>
      </c>
      <c r="U90" s="510"/>
      <c r="V90" s="511"/>
      <c r="W90" s="511"/>
      <c r="Y90" s="910"/>
      <c r="Z90" s="650"/>
      <c r="AA90" s="650"/>
      <c r="AB90" s="649"/>
    </row>
    <row r="91" spans="1:28">
      <c r="A91" s="1230"/>
      <c r="B91" s="1231"/>
      <c r="C91" s="798" t="s">
        <v>345</v>
      </c>
      <c r="D91" s="482"/>
      <c r="E91" s="482"/>
      <c r="F91" s="482"/>
      <c r="G91" s="482"/>
      <c r="H91" s="482"/>
      <c r="I91" s="499"/>
      <c r="J91" s="485">
        <v>2925</v>
      </c>
      <c r="K91" s="500"/>
      <c r="L91" s="500"/>
      <c r="M91" s="500"/>
      <c r="N91" s="482"/>
      <c r="O91" s="482"/>
      <c r="P91" s="482"/>
      <c r="Q91" s="482"/>
      <c r="R91" s="482"/>
      <c r="S91" s="483"/>
      <c r="T91" s="485">
        <v>3003</v>
      </c>
      <c r="U91" s="483"/>
      <c r="V91" s="486"/>
      <c r="W91" s="486"/>
      <c r="Y91" s="910"/>
      <c r="Z91" s="650"/>
      <c r="AA91" s="650"/>
      <c r="AB91" s="649"/>
    </row>
    <row r="92" spans="1:28" ht="15" thickBot="1">
      <c r="A92" s="1230"/>
      <c r="B92" s="1231"/>
      <c r="C92" s="799" t="s">
        <v>346</v>
      </c>
      <c r="D92" s="482"/>
      <c r="E92" s="482"/>
      <c r="F92" s="482"/>
      <c r="G92" s="482"/>
      <c r="H92" s="482"/>
      <c r="I92" s="499"/>
      <c r="J92" s="485">
        <v>5080</v>
      </c>
      <c r="K92" s="500"/>
      <c r="L92" s="500"/>
      <c r="M92" s="500"/>
      <c r="N92" s="482"/>
      <c r="O92" s="482"/>
      <c r="P92" s="482"/>
      <c r="Q92" s="482"/>
      <c r="R92" s="482"/>
      <c r="S92" s="483"/>
      <c r="T92" s="485">
        <v>5991</v>
      </c>
      <c r="U92" s="483"/>
      <c r="V92" s="486"/>
      <c r="W92" s="486"/>
      <c r="Y92" s="910"/>
      <c r="Z92" s="650"/>
      <c r="AA92" s="650"/>
      <c r="AB92" s="649"/>
    </row>
    <row r="93" spans="1:28" ht="15" thickBot="1">
      <c r="A93" s="1230"/>
      <c r="B93" s="1232"/>
      <c r="C93" s="143" t="s">
        <v>289</v>
      </c>
      <c r="D93" s="487"/>
      <c r="E93" s="487"/>
      <c r="F93" s="487"/>
      <c r="G93" s="487"/>
      <c r="H93" s="487"/>
      <c r="I93" s="501"/>
      <c r="J93" s="770">
        <f>(J92/J90)*100</f>
        <v>63.5</v>
      </c>
      <c r="K93" s="506"/>
      <c r="L93" s="506"/>
      <c r="M93" s="506"/>
      <c r="N93" s="503"/>
      <c r="O93" s="503"/>
      <c r="P93" s="503"/>
      <c r="Q93" s="503"/>
      <c r="R93" s="503"/>
      <c r="S93" s="496"/>
      <c r="T93" s="770">
        <f>T92/T90*100</f>
        <v>66.611074049366252</v>
      </c>
      <c r="U93" s="488"/>
      <c r="V93" s="491"/>
      <c r="W93" s="491"/>
      <c r="Y93" s="910"/>
      <c r="Z93" s="650"/>
      <c r="AA93" s="650"/>
      <c r="AB93" s="649"/>
    </row>
    <row r="94" spans="1:28">
      <c r="A94" s="1230"/>
      <c r="B94" s="1242" t="s">
        <v>366</v>
      </c>
      <c r="C94" s="123" t="s">
        <v>344</v>
      </c>
      <c r="D94" s="508"/>
      <c r="E94" s="492"/>
      <c r="F94" s="492"/>
      <c r="G94" s="492"/>
      <c r="H94" s="492"/>
      <c r="I94" s="509"/>
      <c r="J94" s="494">
        <v>2210</v>
      </c>
      <c r="K94" s="505"/>
      <c r="L94" s="505"/>
      <c r="M94" s="505"/>
      <c r="N94" s="492"/>
      <c r="O94" s="492"/>
      <c r="P94" s="492"/>
      <c r="Q94" s="492"/>
      <c r="R94" s="492"/>
      <c r="S94" s="493"/>
      <c r="T94" s="494">
        <v>3381</v>
      </c>
      <c r="U94" s="510"/>
      <c r="V94" s="511"/>
      <c r="W94" s="511"/>
      <c r="Y94" s="912"/>
      <c r="Z94" s="650"/>
      <c r="AA94" s="650"/>
      <c r="AB94" s="649"/>
    </row>
    <row r="95" spans="1:28" ht="14.5" customHeight="1">
      <c r="A95" s="1230"/>
      <c r="B95" s="1231"/>
      <c r="C95" s="798" t="s">
        <v>345</v>
      </c>
      <c r="D95" s="482"/>
      <c r="E95" s="482"/>
      <c r="F95" s="482"/>
      <c r="G95" s="482"/>
      <c r="H95" s="482"/>
      <c r="I95" s="499"/>
      <c r="J95" s="485">
        <v>1335</v>
      </c>
      <c r="K95" s="500"/>
      <c r="L95" s="500"/>
      <c r="M95" s="500"/>
      <c r="N95" s="482"/>
      <c r="O95" s="482"/>
      <c r="P95" s="482"/>
      <c r="Q95" s="482"/>
      <c r="R95" s="482"/>
      <c r="S95" s="483"/>
      <c r="T95" s="485">
        <v>1656</v>
      </c>
      <c r="U95" s="483"/>
      <c r="V95" s="486"/>
      <c r="W95" s="486"/>
      <c r="Y95" s="912"/>
      <c r="Z95" s="650"/>
      <c r="AA95" s="650"/>
      <c r="AB95" s="649"/>
    </row>
    <row r="96" spans="1:28" ht="15" thickBot="1">
      <c r="A96" s="1230"/>
      <c r="B96" s="1231"/>
      <c r="C96" s="799" t="s">
        <v>346</v>
      </c>
      <c r="D96" s="482"/>
      <c r="E96" s="482"/>
      <c r="F96" s="482"/>
      <c r="G96" s="482"/>
      <c r="H96" s="482"/>
      <c r="I96" s="499"/>
      <c r="J96" s="485">
        <v>880</v>
      </c>
      <c r="K96" s="500"/>
      <c r="L96" s="500"/>
      <c r="M96" s="500"/>
      <c r="N96" s="482"/>
      <c r="O96" s="482"/>
      <c r="P96" s="482"/>
      <c r="Q96" s="482"/>
      <c r="R96" s="482"/>
      <c r="S96" s="483"/>
      <c r="T96" s="485">
        <v>1725</v>
      </c>
      <c r="U96" s="483"/>
      <c r="V96" s="486"/>
      <c r="W96" s="486"/>
      <c r="Y96" s="912"/>
      <c r="Z96" s="650"/>
      <c r="AA96" s="650"/>
      <c r="AB96" s="649"/>
    </row>
    <row r="97" spans="1:28" ht="15" thickBot="1">
      <c r="A97" s="1230"/>
      <c r="B97" s="1232"/>
      <c r="C97" s="143" t="s">
        <v>289</v>
      </c>
      <c r="D97" s="487"/>
      <c r="E97" s="487"/>
      <c r="F97" s="487"/>
      <c r="G97" s="487"/>
      <c r="H97" s="487"/>
      <c r="I97" s="501"/>
      <c r="J97" s="771">
        <f>(J96/J94)*100</f>
        <v>39.819004524886878</v>
      </c>
      <c r="K97" s="506"/>
      <c r="L97" s="506"/>
      <c r="M97" s="506"/>
      <c r="N97" s="503"/>
      <c r="O97" s="503"/>
      <c r="P97" s="503"/>
      <c r="Q97" s="503"/>
      <c r="R97" s="503"/>
      <c r="S97" s="496"/>
      <c r="T97" s="775">
        <f>T96/T94*100</f>
        <v>51.020408163265309</v>
      </c>
      <c r="U97" s="488"/>
      <c r="V97" s="491"/>
      <c r="W97" s="491"/>
      <c r="Y97" s="912"/>
      <c r="Z97" s="650"/>
      <c r="AA97" s="650"/>
      <c r="AB97" s="649"/>
    </row>
    <row r="98" spans="1:28">
      <c r="A98" s="1230"/>
      <c r="B98" s="1242" t="s">
        <v>367</v>
      </c>
      <c r="C98" s="123" t="s">
        <v>344</v>
      </c>
      <c r="D98" s="508"/>
      <c r="E98" s="492"/>
      <c r="F98" s="492"/>
      <c r="G98" s="492"/>
      <c r="H98" s="492"/>
      <c r="I98" s="509"/>
      <c r="J98" s="494">
        <v>34175</v>
      </c>
      <c r="K98" s="505"/>
      <c r="L98" s="505"/>
      <c r="M98" s="505"/>
      <c r="N98" s="492"/>
      <c r="O98" s="492"/>
      <c r="P98" s="492"/>
      <c r="Q98" s="492"/>
      <c r="R98" s="492"/>
      <c r="S98" s="493"/>
      <c r="T98" s="494">
        <v>44079</v>
      </c>
      <c r="U98" s="510"/>
      <c r="V98" s="511"/>
      <c r="W98" s="511"/>
      <c r="Y98" s="912"/>
      <c r="Z98" s="650"/>
      <c r="AA98" s="650"/>
      <c r="AB98" s="649"/>
    </row>
    <row r="99" spans="1:28" ht="14.5" customHeight="1">
      <c r="A99" s="1230"/>
      <c r="B99" s="1231"/>
      <c r="C99" s="798" t="s">
        <v>345</v>
      </c>
      <c r="D99" s="482"/>
      <c r="E99" s="482"/>
      <c r="F99" s="482"/>
      <c r="G99" s="482"/>
      <c r="H99" s="482"/>
      <c r="I99" s="499"/>
      <c r="J99" s="485">
        <v>21850</v>
      </c>
      <c r="K99" s="500"/>
      <c r="L99" s="500"/>
      <c r="M99" s="500"/>
      <c r="N99" s="482"/>
      <c r="O99" s="482"/>
      <c r="P99" s="482"/>
      <c r="Q99" s="482"/>
      <c r="R99" s="482"/>
      <c r="S99" s="483"/>
      <c r="T99" s="485">
        <v>25488</v>
      </c>
      <c r="U99" s="483"/>
      <c r="V99" s="486"/>
      <c r="W99" s="486"/>
      <c r="Y99" s="912"/>
      <c r="Z99" s="650"/>
      <c r="AA99" s="650"/>
      <c r="AB99" s="649"/>
    </row>
    <row r="100" spans="1:28" ht="15" thickBot="1">
      <c r="A100" s="1230"/>
      <c r="B100" s="1231"/>
      <c r="C100" s="799" t="s">
        <v>346</v>
      </c>
      <c r="D100" s="482"/>
      <c r="E100" s="482"/>
      <c r="F100" s="482"/>
      <c r="G100" s="482"/>
      <c r="H100" s="482"/>
      <c r="I100" s="499"/>
      <c r="J100" s="485">
        <v>12330</v>
      </c>
      <c r="K100" s="500"/>
      <c r="L100" s="500"/>
      <c r="M100" s="500"/>
      <c r="N100" s="482"/>
      <c r="O100" s="482"/>
      <c r="P100" s="482"/>
      <c r="Q100" s="482"/>
      <c r="R100" s="482"/>
      <c r="S100" s="483"/>
      <c r="T100" s="485">
        <v>18588</v>
      </c>
      <c r="U100" s="483"/>
      <c r="V100" s="486"/>
      <c r="W100" s="486"/>
      <c r="Y100" s="912"/>
      <c r="Z100" s="650"/>
      <c r="AA100" s="650"/>
      <c r="AB100" s="649"/>
    </row>
    <row r="101" spans="1:28" ht="15" thickBot="1">
      <c r="A101" s="1230"/>
      <c r="B101" s="1232"/>
      <c r="C101" s="143" t="s">
        <v>289</v>
      </c>
      <c r="D101" s="487"/>
      <c r="E101" s="487"/>
      <c r="F101" s="487"/>
      <c r="G101" s="487"/>
      <c r="H101" s="487"/>
      <c r="I101" s="501"/>
      <c r="J101" s="771">
        <f>(J100/J98)*100</f>
        <v>36.07900512070227</v>
      </c>
      <c r="K101" s="506"/>
      <c r="L101" s="506"/>
      <c r="M101" s="506"/>
      <c r="N101" s="503"/>
      <c r="O101" s="503"/>
      <c r="P101" s="503"/>
      <c r="Q101" s="503"/>
      <c r="R101" s="503"/>
      <c r="S101" s="496"/>
      <c r="T101" s="775">
        <f>T100/T98*100</f>
        <v>42.169740692846936</v>
      </c>
      <c r="U101" s="488"/>
      <c r="V101" s="491"/>
      <c r="W101" s="491"/>
      <c r="Y101" s="912"/>
      <c r="Z101" s="650"/>
      <c r="AA101" s="650"/>
      <c r="AB101" s="649"/>
    </row>
    <row r="102" spans="1:28">
      <c r="A102" s="1230"/>
      <c r="B102" s="1242" t="s">
        <v>368</v>
      </c>
      <c r="C102" s="123" t="s">
        <v>344</v>
      </c>
      <c r="D102" s="508"/>
      <c r="E102" s="492"/>
      <c r="F102" s="492"/>
      <c r="G102" s="492"/>
      <c r="H102" s="492"/>
      <c r="I102" s="509"/>
      <c r="J102" s="494">
        <v>38885</v>
      </c>
      <c r="K102" s="505"/>
      <c r="L102" s="505"/>
      <c r="M102" s="505"/>
      <c r="N102" s="492"/>
      <c r="O102" s="492"/>
      <c r="P102" s="492"/>
      <c r="Q102" s="492"/>
      <c r="R102" s="492"/>
      <c r="S102" s="493"/>
      <c r="T102" s="494">
        <v>32727</v>
      </c>
      <c r="U102" s="510"/>
      <c r="V102" s="511"/>
      <c r="W102" s="511"/>
      <c r="Y102" s="912"/>
      <c r="Z102" s="650"/>
      <c r="AA102" s="650"/>
      <c r="AB102" s="649"/>
    </row>
    <row r="103" spans="1:28">
      <c r="A103" s="1230"/>
      <c r="B103" s="1231"/>
      <c r="C103" s="798" t="s">
        <v>345</v>
      </c>
      <c r="D103" s="482"/>
      <c r="E103" s="482"/>
      <c r="F103" s="482"/>
      <c r="G103" s="482"/>
      <c r="H103" s="482"/>
      <c r="I103" s="499"/>
      <c r="J103" s="485">
        <v>7210</v>
      </c>
      <c r="K103" s="500"/>
      <c r="L103" s="500"/>
      <c r="M103" s="500"/>
      <c r="N103" s="482"/>
      <c r="O103" s="482"/>
      <c r="P103" s="482"/>
      <c r="Q103" s="482"/>
      <c r="R103" s="482"/>
      <c r="S103" s="483"/>
      <c r="T103" s="485">
        <v>10167</v>
      </c>
      <c r="U103" s="483"/>
      <c r="V103" s="486"/>
      <c r="W103" s="486"/>
      <c r="Y103" s="912"/>
      <c r="Z103" s="650"/>
      <c r="AA103" s="650"/>
      <c r="AB103" s="649"/>
    </row>
    <row r="104" spans="1:28" ht="15" thickBot="1">
      <c r="A104" s="1230"/>
      <c r="B104" s="1231"/>
      <c r="C104" s="799" t="s">
        <v>346</v>
      </c>
      <c r="D104" s="482"/>
      <c r="E104" s="482"/>
      <c r="F104" s="482"/>
      <c r="G104" s="482"/>
      <c r="H104" s="482"/>
      <c r="I104" s="499"/>
      <c r="J104" s="485">
        <v>31675</v>
      </c>
      <c r="K104" s="500"/>
      <c r="L104" s="500"/>
      <c r="M104" s="500"/>
      <c r="N104" s="482"/>
      <c r="O104" s="482"/>
      <c r="P104" s="482"/>
      <c r="Q104" s="482"/>
      <c r="R104" s="482"/>
      <c r="S104" s="483"/>
      <c r="T104" s="485">
        <v>22563</v>
      </c>
      <c r="U104" s="483"/>
      <c r="V104" s="486"/>
      <c r="W104" s="486"/>
      <c r="Y104" s="912"/>
      <c r="Z104" s="650"/>
      <c r="AA104" s="650"/>
      <c r="AB104" s="649"/>
    </row>
    <row r="105" spans="1:28" ht="15" thickBot="1">
      <c r="A105" s="1230"/>
      <c r="B105" s="1232"/>
      <c r="C105" s="143" t="s">
        <v>289</v>
      </c>
      <c r="D105" s="487"/>
      <c r="E105" s="487"/>
      <c r="F105" s="487"/>
      <c r="G105" s="487"/>
      <c r="H105" s="487"/>
      <c r="I105" s="501"/>
      <c r="J105" s="770">
        <f>(J104/J102)*100</f>
        <v>81.458145814581457</v>
      </c>
      <c r="K105" s="506"/>
      <c r="L105" s="506"/>
      <c r="M105" s="506"/>
      <c r="N105" s="503"/>
      <c r="O105" s="503"/>
      <c r="P105" s="503"/>
      <c r="Q105" s="503"/>
      <c r="R105" s="503"/>
      <c r="S105" s="496"/>
      <c r="T105" s="770">
        <f>T104/T102*100</f>
        <v>68.943074525621057</v>
      </c>
      <c r="U105" s="488"/>
      <c r="V105" s="491"/>
      <c r="W105" s="491"/>
      <c r="Y105" s="912"/>
      <c r="Z105" s="650"/>
      <c r="AA105" s="650"/>
      <c r="AB105" s="649"/>
    </row>
    <row r="106" spans="1:28">
      <c r="A106" s="1230"/>
      <c r="B106" s="1242" t="s">
        <v>369</v>
      </c>
      <c r="C106" s="123" t="s">
        <v>344</v>
      </c>
      <c r="D106" s="508"/>
      <c r="E106" s="492"/>
      <c r="F106" s="492"/>
      <c r="G106" s="492"/>
      <c r="H106" s="492"/>
      <c r="I106" s="509"/>
      <c r="J106" s="494">
        <v>18160</v>
      </c>
      <c r="K106" s="505"/>
      <c r="L106" s="505"/>
      <c r="M106" s="505"/>
      <c r="N106" s="492"/>
      <c r="O106" s="492"/>
      <c r="P106" s="492"/>
      <c r="Q106" s="492"/>
      <c r="R106" s="492"/>
      <c r="S106" s="493"/>
      <c r="T106" s="494">
        <v>22023</v>
      </c>
      <c r="U106" s="510"/>
      <c r="V106" s="511"/>
      <c r="W106" s="511"/>
      <c r="Y106" s="912"/>
      <c r="Z106" s="650"/>
      <c r="AA106" s="650"/>
      <c r="AB106" s="649"/>
    </row>
    <row r="107" spans="1:28">
      <c r="A107" s="1230"/>
      <c r="B107" s="1231"/>
      <c r="C107" s="798" t="s">
        <v>345</v>
      </c>
      <c r="D107" s="482"/>
      <c r="E107" s="482"/>
      <c r="F107" s="482"/>
      <c r="G107" s="482"/>
      <c r="H107" s="482"/>
      <c r="I107" s="499"/>
      <c r="J107" s="485">
        <v>8880</v>
      </c>
      <c r="K107" s="500"/>
      <c r="L107" s="500"/>
      <c r="M107" s="500"/>
      <c r="N107" s="482"/>
      <c r="O107" s="482"/>
      <c r="P107" s="482"/>
      <c r="Q107" s="482"/>
      <c r="R107" s="482"/>
      <c r="S107" s="483"/>
      <c r="T107" s="485">
        <v>11328</v>
      </c>
      <c r="U107" s="483"/>
      <c r="V107" s="486"/>
      <c r="W107" s="486"/>
      <c r="X107" s="911"/>
      <c r="Z107" s="650"/>
      <c r="AA107" s="650"/>
      <c r="AB107" s="649"/>
    </row>
    <row r="108" spans="1:28" ht="15" thickBot="1">
      <c r="A108" s="1230"/>
      <c r="B108" s="1231"/>
      <c r="C108" s="799" t="s">
        <v>346</v>
      </c>
      <c r="D108" s="482"/>
      <c r="E108" s="482"/>
      <c r="F108" s="482"/>
      <c r="G108" s="482"/>
      <c r="H108" s="482"/>
      <c r="I108" s="499"/>
      <c r="J108" s="485">
        <v>9280</v>
      </c>
      <c r="K108" s="500"/>
      <c r="L108" s="500"/>
      <c r="M108" s="500"/>
      <c r="N108" s="482"/>
      <c r="O108" s="482"/>
      <c r="P108" s="482"/>
      <c r="Q108" s="482"/>
      <c r="R108" s="482"/>
      <c r="S108" s="483"/>
      <c r="T108" s="485">
        <v>10692</v>
      </c>
      <c r="U108" s="483"/>
      <c r="V108" s="486"/>
      <c r="W108" s="486"/>
      <c r="X108" s="911"/>
      <c r="Z108" s="650"/>
      <c r="AA108" s="650"/>
      <c r="AB108" s="649"/>
    </row>
    <row r="109" spans="1:28" ht="15" thickBot="1">
      <c r="A109" s="1230"/>
      <c r="B109" s="1232"/>
      <c r="C109" s="143" t="s">
        <v>289</v>
      </c>
      <c r="D109" s="487"/>
      <c r="E109" s="487"/>
      <c r="F109" s="487"/>
      <c r="G109" s="487"/>
      <c r="H109" s="487"/>
      <c r="I109" s="501"/>
      <c r="J109" s="775">
        <f>(J108/J106)*100</f>
        <v>51.101321585903079</v>
      </c>
      <c r="K109" s="506"/>
      <c r="L109" s="506"/>
      <c r="M109" s="506"/>
      <c r="N109" s="503"/>
      <c r="O109" s="503"/>
      <c r="P109" s="503"/>
      <c r="Q109" s="503"/>
      <c r="R109" s="503"/>
      <c r="S109" s="496"/>
      <c r="T109" s="775">
        <f>T108/T106*100</f>
        <v>48.549243972210867</v>
      </c>
      <c r="U109" s="488"/>
      <c r="V109" s="491"/>
      <c r="W109" s="491"/>
      <c r="X109" s="911"/>
      <c r="Z109" s="650"/>
      <c r="AA109" s="650"/>
      <c r="AB109" s="649"/>
    </row>
    <row r="110" spans="1:28">
      <c r="A110" s="1230"/>
      <c r="B110" s="1242" t="s">
        <v>370</v>
      </c>
      <c r="C110" s="123" t="s">
        <v>344</v>
      </c>
      <c r="D110" s="508"/>
      <c r="E110" s="492"/>
      <c r="F110" s="492"/>
      <c r="G110" s="492"/>
      <c r="H110" s="492"/>
      <c r="I110" s="509"/>
      <c r="J110" s="494">
        <v>43835</v>
      </c>
      <c r="K110" s="505"/>
      <c r="L110" s="505"/>
      <c r="M110" s="505"/>
      <c r="N110" s="492"/>
      <c r="O110" s="492"/>
      <c r="P110" s="492"/>
      <c r="Q110" s="492"/>
      <c r="R110" s="492"/>
      <c r="S110" s="493"/>
      <c r="T110" s="494">
        <v>33525</v>
      </c>
      <c r="U110" s="510"/>
      <c r="V110" s="511"/>
      <c r="W110" s="511"/>
      <c r="X110" s="911"/>
      <c r="Z110" s="650"/>
      <c r="AA110" s="650"/>
      <c r="AB110" s="649"/>
    </row>
    <row r="111" spans="1:28">
      <c r="A111" s="1230"/>
      <c r="B111" s="1231"/>
      <c r="C111" s="798" t="s">
        <v>345</v>
      </c>
      <c r="D111" s="482"/>
      <c r="E111" s="482"/>
      <c r="F111" s="482"/>
      <c r="G111" s="482"/>
      <c r="H111" s="482"/>
      <c r="I111" s="499"/>
      <c r="J111" s="485">
        <v>32320</v>
      </c>
      <c r="K111" s="500"/>
      <c r="L111" s="500"/>
      <c r="M111" s="500"/>
      <c r="N111" s="482"/>
      <c r="O111" s="482"/>
      <c r="P111" s="482"/>
      <c r="Q111" s="482"/>
      <c r="R111" s="482"/>
      <c r="S111" s="483"/>
      <c r="T111" s="485">
        <v>24378</v>
      </c>
      <c r="U111" s="483"/>
      <c r="V111" s="486"/>
      <c r="W111" s="486"/>
      <c r="X111" s="911"/>
      <c r="Z111" s="650"/>
      <c r="AA111" s="650"/>
      <c r="AB111" s="649"/>
    </row>
    <row r="112" spans="1:28" ht="15" thickBot="1">
      <c r="A112" s="1230"/>
      <c r="B112" s="1231"/>
      <c r="C112" s="799" t="s">
        <v>346</v>
      </c>
      <c r="D112" s="482"/>
      <c r="E112" s="482"/>
      <c r="F112" s="482"/>
      <c r="G112" s="482"/>
      <c r="H112" s="482"/>
      <c r="I112" s="499"/>
      <c r="J112" s="485">
        <v>11515</v>
      </c>
      <c r="K112" s="500"/>
      <c r="L112" s="500"/>
      <c r="M112" s="500"/>
      <c r="N112" s="482"/>
      <c r="O112" s="482"/>
      <c r="P112" s="482"/>
      <c r="Q112" s="482"/>
      <c r="R112" s="482"/>
      <c r="S112" s="483"/>
      <c r="T112" s="485">
        <v>9147</v>
      </c>
      <c r="U112" s="483"/>
      <c r="V112" s="486"/>
      <c r="W112" s="486"/>
      <c r="X112" s="911"/>
      <c r="Z112" s="650"/>
      <c r="AA112" s="650"/>
      <c r="AB112" s="649"/>
    </row>
    <row r="113" spans="1:28" ht="15" thickBot="1">
      <c r="A113" s="1230"/>
      <c r="B113" s="1232"/>
      <c r="C113" s="143" t="s">
        <v>289</v>
      </c>
      <c r="D113" s="487"/>
      <c r="E113" s="487"/>
      <c r="F113" s="487"/>
      <c r="G113" s="487"/>
      <c r="H113" s="487"/>
      <c r="I113" s="501"/>
      <c r="J113" s="771">
        <f>(J112/J110)*100</f>
        <v>26.268963157294401</v>
      </c>
      <c r="K113" s="506"/>
      <c r="L113" s="506"/>
      <c r="M113" s="506"/>
      <c r="N113" s="503"/>
      <c r="O113" s="503"/>
      <c r="P113" s="503"/>
      <c r="Q113" s="503"/>
      <c r="R113" s="503"/>
      <c r="S113" s="496"/>
      <c r="T113" s="771">
        <f>T112/T110*100</f>
        <v>27.284116331096197</v>
      </c>
      <c r="U113" s="488"/>
      <c r="V113" s="491"/>
      <c r="W113" s="491"/>
      <c r="X113" s="911"/>
      <c r="Z113" s="650"/>
      <c r="AA113" s="650"/>
      <c r="AB113" s="649"/>
    </row>
    <row r="114" spans="1:28" ht="14.5" customHeight="1">
      <c r="A114" s="1230"/>
      <c r="B114" s="1242" t="s">
        <v>371</v>
      </c>
      <c r="C114" s="123" t="s">
        <v>344</v>
      </c>
      <c r="D114" s="508"/>
      <c r="E114" s="492"/>
      <c r="F114" s="492"/>
      <c r="G114" s="492"/>
      <c r="H114" s="492"/>
      <c r="I114" s="509"/>
      <c r="J114" s="494">
        <v>61935</v>
      </c>
      <c r="K114" s="505"/>
      <c r="L114" s="505"/>
      <c r="M114" s="505"/>
      <c r="N114" s="492"/>
      <c r="O114" s="492"/>
      <c r="P114" s="492"/>
      <c r="Q114" s="492"/>
      <c r="R114" s="492"/>
      <c r="S114" s="493"/>
      <c r="T114" s="494">
        <v>37500</v>
      </c>
      <c r="U114" s="510"/>
      <c r="V114" s="511"/>
      <c r="W114" s="511"/>
      <c r="X114" s="911"/>
      <c r="Z114" s="650"/>
      <c r="AA114" s="650"/>
      <c r="AB114" s="649"/>
    </row>
    <row r="115" spans="1:28">
      <c r="A115" s="1230"/>
      <c r="B115" s="1231"/>
      <c r="C115" s="798" t="s">
        <v>345</v>
      </c>
      <c r="D115" s="482"/>
      <c r="E115" s="482"/>
      <c r="F115" s="482"/>
      <c r="G115" s="482"/>
      <c r="H115" s="482"/>
      <c r="I115" s="499"/>
      <c r="J115" s="485">
        <v>25995</v>
      </c>
      <c r="K115" s="500"/>
      <c r="L115" s="500"/>
      <c r="M115" s="500"/>
      <c r="N115" s="482"/>
      <c r="O115" s="482"/>
      <c r="P115" s="482"/>
      <c r="Q115" s="482"/>
      <c r="R115" s="482"/>
      <c r="S115" s="483"/>
      <c r="T115" s="485">
        <v>18951</v>
      </c>
      <c r="U115" s="483"/>
      <c r="V115" s="486"/>
      <c r="W115" s="486"/>
      <c r="X115" s="911"/>
      <c r="Z115" s="650"/>
      <c r="AA115" s="650"/>
      <c r="AB115" s="649"/>
    </row>
    <row r="116" spans="1:28" ht="15" thickBot="1">
      <c r="A116" s="1230"/>
      <c r="B116" s="1231"/>
      <c r="C116" s="799" t="s">
        <v>346</v>
      </c>
      <c r="D116" s="482"/>
      <c r="E116" s="482"/>
      <c r="F116" s="482"/>
      <c r="G116" s="482"/>
      <c r="H116" s="482"/>
      <c r="I116" s="499"/>
      <c r="J116" s="485">
        <v>35940</v>
      </c>
      <c r="K116" s="500"/>
      <c r="L116" s="500"/>
      <c r="M116" s="500"/>
      <c r="N116" s="482"/>
      <c r="O116" s="482"/>
      <c r="P116" s="482"/>
      <c r="Q116" s="482"/>
      <c r="R116" s="482"/>
      <c r="S116" s="483"/>
      <c r="T116" s="485">
        <v>18546</v>
      </c>
      <c r="U116" s="483"/>
      <c r="V116" s="486"/>
      <c r="W116" s="486"/>
      <c r="X116" s="911"/>
      <c r="Z116" s="650"/>
      <c r="AA116" s="650"/>
      <c r="AB116" s="649"/>
    </row>
    <row r="117" spans="1:28" ht="15" thickBot="1">
      <c r="A117" s="1230"/>
      <c r="B117" s="1232"/>
      <c r="C117" s="143" t="s">
        <v>289</v>
      </c>
      <c r="D117" s="487"/>
      <c r="E117" s="487"/>
      <c r="F117" s="487"/>
      <c r="G117" s="487"/>
      <c r="H117" s="487"/>
      <c r="I117" s="501"/>
      <c r="J117" s="775">
        <f>(J116/J114)*100</f>
        <v>58.028578348268347</v>
      </c>
      <c r="K117" s="506"/>
      <c r="L117" s="506"/>
      <c r="M117" s="506"/>
      <c r="N117" s="503"/>
      <c r="O117" s="503"/>
      <c r="P117" s="503"/>
      <c r="Q117" s="503"/>
      <c r="R117" s="503"/>
      <c r="S117" s="496"/>
      <c r="T117" s="775">
        <f>T116/T114*100</f>
        <v>49.456000000000003</v>
      </c>
      <c r="U117" s="488"/>
      <c r="V117" s="491"/>
      <c r="W117" s="491"/>
      <c r="X117" s="911"/>
      <c r="Z117" s="650"/>
      <c r="AA117" s="650"/>
      <c r="AB117" s="649"/>
    </row>
    <row r="118" spans="1:28">
      <c r="A118" s="1230"/>
      <c r="B118" s="1242" t="s">
        <v>372</v>
      </c>
      <c r="C118" s="123" t="s">
        <v>344</v>
      </c>
      <c r="D118" s="508"/>
      <c r="E118" s="492"/>
      <c r="F118" s="492"/>
      <c r="G118" s="492"/>
      <c r="H118" s="492"/>
      <c r="I118" s="509"/>
      <c r="J118" s="494">
        <v>5210</v>
      </c>
      <c r="K118" s="505"/>
      <c r="L118" s="505"/>
      <c r="M118" s="505"/>
      <c r="N118" s="492"/>
      <c r="O118" s="492"/>
      <c r="P118" s="492"/>
      <c r="Q118" s="492"/>
      <c r="R118" s="492"/>
      <c r="S118" s="493"/>
      <c r="T118" s="494">
        <v>8169</v>
      </c>
      <c r="U118" s="510"/>
      <c r="V118" s="511"/>
      <c r="W118" s="511"/>
      <c r="X118" s="911"/>
      <c r="Z118" s="650"/>
      <c r="AA118" s="650"/>
      <c r="AB118" s="649"/>
    </row>
    <row r="119" spans="1:28" ht="14.5" customHeight="1">
      <c r="A119" s="1230"/>
      <c r="B119" s="1231"/>
      <c r="C119" s="798" t="s">
        <v>345</v>
      </c>
      <c r="D119" s="482"/>
      <c r="E119" s="482"/>
      <c r="F119" s="482"/>
      <c r="G119" s="482"/>
      <c r="H119" s="482"/>
      <c r="I119" s="499"/>
      <c r="J119" s="485">
        <v>2690</v>
      </c>
      <c r="K119" s="500"/>
      <c r="L119" s="500"/>
      <c r="M119" s="500"/>
      <c r="N119" s="482"/>
      <c r="O119" s="482"/>
      <c r="P119" s="482"/>
      <c r="Q119" s="482"/>
      <c r="R119" s="482"/>
      <c r="S119" s="528"/>
      <c r="T119" s="485">
        <v>4275</v>
      </c>
      <c r="U119" s="483"/>
      <c r="V119" s="486"/>
      <c r="W119" s="486"/>
      <c r="X119" s="911"/>
      <c r="Z119" s="650"/>
      <c r="AA119" s="650"/>
      <c r="AB119" s="649"/>
    </row>
    <row r="120" spans="1:28" ht="15" thickBot="1">
      <c r="A120" s="1230"/>
      <c r="B120" s="1231"/>
      <c r="C120" s="799" t="s">
        <v>346</v>
      </c>
      <c r="D120" s="482"/>
      <c r="E120" s="482"/>
      <c r="F120" s="482"/>
      <c r="G120" s="482"/>
      <c r="H120" s="482"/>
      <c r="I120" s="499"/>
      <c r="J120" s="485">
        <v>2520</v>
      </c>
      <c r="K120" s="500"/>
      <c r="L120" s="500"/>
      <c r="M120" s="500"/>
      <c r="N120" s="482"/>
      <c r="O120" s="482"/>
      <c r="P120" s="482"/>
      <c r="Q120" s="482"/>
      <c r="R120" s="482"/>
      <c r="S120" s="483"/>
      <c r="T120" s="485">
        <v>3891</v>
      </c>
      <c r="U120" s="483"/>
      <c r="V120" s="486"/>
      <c r="W120" s="486"/>
      <c r="X120" s="911"/>
      <c r="Z120" s="650"/>
      <c r="AA120" s="650"/>
      <c r="AB120" s="649"/>
    </row>
    <row r="121" spans="1:28" ht="15" thickBot="1">
      <c r="A121" s="1230"/>
      <c r="B121" s="1232"/>
      <c r="C121" s="143" t="s">
        <v>289</v>
      </c>
      <c r="D121" s="487"/>
      <c r="E121" s="487"/>
      <c r="F121" s="487"/>
      <c r="G121" s="487"/>
      <c r="H121" s="487"/>
      <c r="I121" s="501"/>
      <c r="J121" s="775">
        <f>(J120/J118)*100</f>
        <v>48.368522072936656</v>
      </c>
      <c r="K121" s="506"/>
      <c r="L121" s="506"/>
      <c r="M121" s="506"/>
      <c r="N121" s="503"/>
      <c r="O121" s="503"/>
      <c r="P121" s="503"/>
      <c r="Q121" s="503"/>
      <c r="R121" s="503"/>
      <c r="S121" s="496"/>
      <c r="T121" s="775">
        <f>T120/T118*100</f>
        <v>47.631289019463829</v>
      </c>
      <c r="U121" s="488"/>
      <c r="V121" s="491"/>
      <c r="W121" s="491"/>
      <c r="X121" s="911"/>
      <c r="Z121" s="650"/>
      <c r="AA121" s="650"/>
      <c r="AB121" s="649"/>
    </row>
    <row r="122" spans="1:28">
      <c r="A122" s="1230"/>
      <c r="B122" s="1242" t="s">
        <v>373</v>
      </c>
      <c r="C122" s="123" t="s">
        <v>344</v>
      </c>
      <c r="D122" s="508"/>
      <c r="E122" s="492"/>
      <c r="F122" s="492"/>
      <c r="G122" s="492"/>
      <c r="H122" s="492"/>
      <c r="I122" s="509"/>
      <c r="J122" s="494">
        <v>63645</v>
      </c>
      <c r="K122" s="505"/>
      <c r="L122" s="505"/>
      <c r="M122" s="505"/>
      <c r="N122" s="492"/>
      <c r="O122" s="492"/>
      <c r="P122" s="492"/>
      <c r="Q122" s="492"/>
      <c r="R122" s="492"/>
      <c r="S122" s="493"/>
      <c r="T122" s="494">
        <v>60003</v>
      </c>
      <c r="U122" s="510"/>
      <c r="V122" s="511"/>
      <c r="W122" s="511"/>
      <c r="X122" s="911"/>
      <c r="Z122" s="650"/>
      <c r="AA122" s="650"/>
      <c r="AB122" s="649"/>
    </row>
    <row r="123" spans="1:28">
      <c r="A123" s="1230"/>
      <c r="B123" s="1231"/>
      <c r="C123" s="798" t="s">
        <v>345</v>
      </c>
      <c r="D123" s="482"/>
      <c r="E123" s="482"/>
      <c r="F123" s="482"/>
      <c r="G123" s="482"/>
      <c r="H123" s="482"/>
      <c r="I123" s="499"/>
      <c r="J123" s="485">
        <v>20930</v>
      </c>
      <c r="K123" s="500"/>
      <c r="L123" s="500"/>
      <c r="M123" s="500"/>
      <c r="N123" s="482"/>
      <c r="O123" s="482"/>
      <c r="P123" s="482"/>
      <c r="Q123" s="482"/>
      <c r="R123" s="482"/>
      <c r="S123" s="483"/>
      <c r="T123" s="485">
        <v>19803</v>
      </c>
      <c r="U123" s="483"/>
      <c r="V123" s="486"/>
      <c r="W123" s="486"/>
      <c r="X123" s="911"/>
      <c r="Z123" s="650"/>
      <c r="AA123" s="650"/>
      <c r="AB123" s="649"/>
    </row>
    <row r="124" spans="1:28" ht="15" thickBot="1">
      <c r="A124" s="1230"/>
      <c r="B124" s="1231"/>
      <c r="C124" s="799" t="s">
        <v>346</v>
      </c>
      <c r="D124" s="482"/>
      <c r="E124" s="482"/>
      <c r="F124" s="482"/>
      <c r="G124" s="482"/>
      <c r="H124" s="482"/>
      <c r="I124" s="499"/>
      <c r="J124" s="485">
        <v>42715</v>
      </c>
      <c r="K124" s="500"/>
      <c r="L124" s="500"/>
      <c r="M124" s="500"/>
      <c r="N124" s="482"/>
      <c r="O124" s="482"/>
      <c r="P124" s="482"/>
      <c r="Q124" s="482"/>
      <c r="R124" s="482"/>
      <c r="S124" s="483"/>
      <c r="T124" s="485">
        <v>40203</v>
      </c>
      <c r="U124" s="483"/>
      <c r="V124" s="486"/>
      <c r="W124" s="486"/>
      <c r="X124" s="911"/>
      <c r="Z124" s="650"/>
      <c r="AA124" s="650"/>
      <c r="AB124" s="649"/>
    </row>
    <row r="125" spans="1:28" ht="15" thickBot="1">
      <c r="A125" s="1230"/>
      <c r="B125" s="1232"/>
      <c r="C125" s="143" t="s">
        <v>289</v>
      </c>
      <c r="D125" s="487"/>
      <c r="E125" s="487"/>
      <c r="F125" s="487"/>
      <c r="G125" s="487"/>
      <c r="H125" s="487"/>
      <c r="I125" s="501"/>
      <c r="J125" s="770">
        <f>(J124/J122)*100</f>
        <v>67.11446303715924</v>
      </c>
      <c r="K125" s="506"/>
      <c r="L125" s="506"/>
      <c r="M125" s="506"/>
      <c r="N125" s="503"/>
      <c r="O125" s="503"/>
      <c r="P125" s="503"/>
      <c r="Q125" s="503"/>
      <c r="R125" s="503"/>
      <c r="S125" s="496"/>
      <c r="T125" s="770">
        <f>T124/T122*100</f>
        <v>67.001649917504125</v>
      </c>
      <c r="U125" s="488"/>
      <c r="V125" s="491"/>
      <c r="W125" s="491"/>
      <c r="X125" s="911"/>
      <c r="Z125" s="650"/>
      <c r="AA125" s="650"/>
      <c r="AB125" s="649"/>
    </row>
    <row r="126" spans="1:28" ht="14.5" customHeight="1">
      <c r="A126" s="1230"/>
      <c r="B126" s="1242" t="s">
        <v>374</v>
      </c>
      <c r="C126" s="123" t="s">
        <v>344</v>
      </c>
      <c r="D126" s="508"/>
      <c r="E126" s="492"/>
      <c r="F126" s="492"/>
      <c r="G126" s="492"/>
      <c r="H126" s="492"/>
      <c r="I126" s="509"/>
      <c r="J126" s="494">
        <v>42770</v>
      </c>
      <c r="K126" s="505"/>
      <c r="L126" s="505"/>
      <c r="M126" s="505"/>
      <c r="N126" s="492"/>
      <c r="O126" s="492"/>
      <c r="P126" s="492"/>
      <c r="Q126" s="492"/>
      <c r="R126" s="492"/>
      <c r="S126" s="493"/>
      <c r="T126" s="494">
        <v>36072</v>
      </c>
      <c r="U126" s="510"/>
      <c r="V126" s="511"/>
      <c r="W126" s="511"/>
      <c r="X126" s="911"/>
      <c r="Z126" s="650"/>
      <c r="AA126" s="650"/>
      <c r="AB126" s="649"/>
    </row>
    <row r="127" spans="1:28">
      <c r="A127" s="1230"/>
      <c r="B127" s="1231"/>
      <c r="C127" s="798" t="s">
        <v>345</v>
      </c>
      <c r="D127" s="482"/>
      <c r="E127" s="482"/>
      <c r="F127" s="482"/>
      <c r="G127" s="482"/>
      <c r="H127" s="482"/>
      <c r="I127" s="499"/>
      <c r="J127" s="485">
        <v>15125</v>
      </c>
      <c r="K127" s="500"/>
      <c r="L127" s="500"/>
      <c r="M127" s="500"/>
      <c r="N127" s="482"/>
      <c r="O127" s="482"/>
      <c r="P127" s="482"/>
      <c r="Q127" s="482"/>
      <c r="R127" s="482"/>
      <c r="S127" s="483"/>
      <c r="T127" s="485">
        <v>11268</v>
      </c>
      <c r="U127" s="483"/>
      <c r="V127" s="486"/>
      <c r="W127" s="486"/>
      <c r="X127" s="911"/>
      <c r="Z127" s="650"/>
      <c r="AA127" s="650"/>
      <c r="AB127" s="649"/>
    </row>
    <row r="128" spans="1:28" ht="15" thickBot="1">
      <c r="A128" s="1230"/>
      <c r="B128" s="1232"/>
      <c r="C128" s="799" t="s">
        <v>346</v>
      </c>
      <c r="D128" s="487"/>
      <c r="E128" s="482"/>
      <c r="F128" s="482"/>
      <c r="G128" s="482"/>
      <c r="H128" s="482"/>
      <c r="I128" s="501"/>
      <c r="J128" s="490">
        <v>27645</v>
      </c>
      <c r="K128" s="529"/>
      <c r="L128" s="529"/>
      <c r="M128" s="529"/>
      <c r="N128" s="487"/>
      <c r="O128" s="487"/>
      <c r="P128" s="487"/>
      <c r="Q128" s="487"/>
      <c r="R128" s="487"/>
      <c r="S128" s="488"/>
      <c r="T128" s="490">
        <v>24804</v>
      </c>
      <c r="U128" s="488"/>
      <c r="V128" s="491"/>
      <c r="W128" s="491"/>
      <c r="X128" s="911"/>
      <c r="Z128" s="650"/>
      <c r="AA128" s="650"/>
      <c r="AB128" s="649"/>
    </row>
    <row r="129" spans="1:28" ht="15" thickBot="1">
      <c r="A129" s="1230"/>
      <c r="B129" s="1272"/>
      <c r="C129" s="145" t="s">
        <v>289</v>
      </c>
      <c r="D129" s="530"/>
      <c r="E129" s="487"/>
      <c r="F129" s="487"/>
      <c r="G129" s="487"/>
      <c r="H129" s="487"/>
      <c r="I129" s="531"/>
      <c r="J129" s="774">
        <f>(J128/J126)*100</f>
        <v>64.63642740238484</v>
      </c>
      <c r="K129" s="532"/>
      <c r="L129" s="532"/>
      <c r="M129" s="532"/>
      <c r="N129" s="533"/>
      <c r="O129" s="533"/>
      <c r="P129" s="533"/>
      <c r="Q129" s="533"/>
      <c r="R129" s="533"/>
      <c r="S129" s="534"/>
      <c r="T129" s="774">
        <f>T128/T126*100</f>
        <v>68.762475049900189</v>
      </c>
      <c r="U129" s="535"/>
      <c r="V129" s="536"/>
      <c r="W129" s="536"/>
      <c r="X129" s="911"/>
      <c r="Z129" s="650"/>
      <c r="AA129" s="650"/>
      <c r="AB129" s="649"/>
    </row>
    <row r="130" spans="1:28">
      <c r="A130" s="1230"/>
      <c r="B130" s="1242" t="s">
        <v>375</v>
      </c>
      <c r="C130" s="123" t="s">
        <v>344</v>
      </c>
      <c r="D130" s="508"/>
      <c r="E130" s="492"/>
      <c r="F130" s="492"/>
      <c r="G130" s="492"/>
      <c r="H130" s="492"/>
      <c r="I130" s="509"/>
      <c r="J130" s="494">
        <v>56920</v>
      </c>
      <c r="K130" s="505"/>
      <c r="L130" s="505"/>
      <c r="M130" s="505"/>
      <c r="N130" s="492"/>
      <c r="O130" s="492"/>
      <c r="P130" s="492"/>
      <c r="Q130" s="492"/>
      <c r="R130" s="492"/>
      <c r="S130" s="493"/>
      <c r="T130" s="494">
        <v>33738</v>
      </c>
      <c r="U130" s="510"/>
      <c r="V130" s="511"/>
      <c r="W130" s="511"/>
      <c r="X130" s="911"/>
      <c r="Z130" s="650"/>
      <c r="AA130" s="650"/>
      <c r="AB130" s="649"/>
    </row>
    <row r="131" spans="1:28">
      <c r="A131" s="1230"/>
      <c r="B131" s="1231"/>
      <c r="C131" s="798" t="s">
        <v>345</v>
      </c>
      <c r="D131" s="482"/>
      <c r="E131" s="482"/>
      <c r="F131" s="482"/>
      <c r="G131" s="482"/>
      <c r="H131" s="482"/>
      <c r="I131" s="499"/>
      <c r="J131" s="485">
        <v>17200</v>
      </c>
      <c r="K131" s="500"/>
      <c r="L131" s="500"/>
      <c r="M131" s="500"/>
      <c r="N131" s="482"/>
      <c r="O131" s="482"/>
      <c r="P131" s="482"/>
      <c r="Q131" s="482"/>
      <c r="R131" s="482"/>
      <c r="S131" s="483"/>
      <c r="T131" s="485">
        <v>10161</v>
      </c>
      <c r="U131" s="483"/>
      <c r="V131" s="486"/>
      <c r="W131" s="486"/>
      <c r="X131" s="911"/>
      <c r="Z131" s="650"/>
      <c r="AA131" s="650"/>
      <c r="AB131" s="649"/>
    </row>
    <row r="132" spans="1:28" ht="15" thickBot="1">
      <c r="A132" s="1230"/>
      <c r="B132" s="1231"/>
      <c r="C132" s="799" t="s">
        <v>346</v>
      </c>
      <c r="D132" s="482"/>
      <c r="E132" s="482"/>
      <c r="F132" s="482"/>
      <c r="G132" s="482"/>
      <c r="H132" s="482"/>
      <c r="I132" s="499"/>
      <c r="J132" s="485">
        <v>39720</v>
      </c>
      <c r="K132" s="500"/>
      <c r="L132" s="500"/>
      <c r="M132" s="500"/>
      <c r="N132" s="482"/>
      <c r="O132" s="482"/>
      <c r="P132" s="482"/>
      <c r="Q132" s="482"/>
      <c r="R132" s="482"/>
      <c r="S132" s="483"/>
      <c r="T132" s="485">
        <v>23577</v>
      </c>
      <c r="U132" s="483"/>
      <c r="V132" s="486"/>
      <c r="W132" s="486"/>
      <c r="X132" s="911"/>
      <c r="Z132" s="650"/>
      <c r="AA132" s="650"/>
      <c r="AB132" s="649"/>
    </row>
    <row r="133" spans="1:28" ht="15" thickBot="1">
      <c r="A133" s="1230"/>
      <c r="B133" s="1232"/>
      <c r="C133" s="143" t="s">
        <v>289</v>
      </c>
      <c r="D133" s="487"/>
      <c r="E133" s="487"/>
      <c r="F133" s="487"/>
      <c r="G133" s="487"/>
      <c r="H133" s="487"/>
      <c r="I133" s="501"/>
      <c r="J133" s="770">
        <f>(J132/J130)*100</f>
        <v>69.782150386507382</v>
      </c>
      <c r="K133" s="506"/>
      <c r="L133" s="506"/>
      <c r="M133" s="506"/>
      <c r="N133" s="503"/>
      <c r="O133" s="503"/>
      <c r="P133" s="503"/>
      <c r="Q133" s="503"/>
      <c r="R133" s="503"/>
      <c r="S133" s="496"/>
      <c r="T133" s="770">
        <f>T132/T130*100</f>
        <v>69.882624933309629</v>
      </c>
      <c r="U133" s="488"/>
      <c r="V133" s="491"/>
      <c r="W133" s="491"/>
      <c r="X133" s="911"/>
      <c r="Z133" s="650"/>
      <c r="AA133" s="650"/>
      <c r="AB133" s="649"/>
    </row>
    <row r="134" spans="1:28">
      <c r="A134" s="1230"/>
      <c r="B134" s="1242" t="s">
        <v>376</v>
      </c>
      <c r="C134" s="123" t="s">
        <v>344</v>
      </c>
      <c r="D134" s="508"/>
      <c r="E134" s="492"/>
      <c r="F134" s="492"/>
      <c r="G134" s="492"/>
      <c r="H134" s="492"/>
      <c r="I134" s="509"/>
      <c r="J134" s="494">
        <v>7220</v>
      </c>
      <c r="K134" s="505"/>
      <c r="L134" s="505"/>
      <c r="M134" s="505"/>
      <c r="N134" s="492"/>
      <c r="O134" s="492"/>
      <c r="P134" s="492"/>
      <c r="Q134" s="492"/>
      <c r="R134" s="492"/>
      <c r="S134" s="493"/>
      <c r="T134" s="494">
        <v>11280</v>
      </c>
      <c r="U134" s="510"/>
      <c r="V134" s="511"/>
      <c r="W134" s="511"/>
      <c r="X134" s="911"/>
      <c r="Z134" s="650"/>
      <c r="AA134" s="650"/>
      <c r="AB134" s="649"/>
    </row>
    <row r="135" spans="1:28" ht="14.5" customHeight="1">
      <c r="A135" s="1230"/>
      <c r="B135" s="1231"/>
      <c r="C135" s="798" t="s">
        <v>345</v>
      </c>
      <c r="D135" s="482"/>
      <c r="E135" s="482"/>
      <c r="F135" s="482"/>
      <c r="G135" s="482"/>
      <c r="H135" s="482"/>
      <c r="I135" s="499"/>
      <c r="J135" s="485">
        <v>5000</v>
      </c>
      <c r="K135" s="500"/>
      <c r="L135" s="500"/>
      <c r="M135" s="500"/>
      <c r="N135" s="482"/>
      <c r="O135" s="482"/>
      <c r="P135" s="482"/>
      <c r="Q135" s="482"/>
      <c r="R135" s="482"/>
      <c r="S135" s="483"/>
      <c r="T135" s="485">
        <v>7089</v>
      </c>
      <c r="U135" s="483"/>
      <c r="V135" s="486"/>
      <c r="W135" s="486"/>
      <c r="X135" s="911"/>
      <c r="Z135" s="650"/>
      <c r="AA135" s="650"/>
      <c r="AB135" s="649"/>
    </row>
    <row r="136" spans="1:28" ht="15" thickBot="1">
      <c r="A136" s="1230"/>
      <c r="B136" s="1231"/>
      <c r="C136" s="799" t="s">
        <v>346</v>
      </c>
      <c r="D136" s="482"/>
      <c r="E136" s="482"/>
      <c r="F136" s="482"/>
      <c r="G136" s="482"/>
      <c r="H136" s="482"/>
      <c r="I136" s="499"/>
      <c r="J136" s="485">
        <v>2220</v>
      </c>
      <c r="K136" s="500"/>
      <c r="L136" s="500"/>
      <c r="M136" s="500"/>
      <c r="N136" s="482"/>
      <c r="O136" s="482"/>
      <c r="P136" s="482"/>
      <c r="Q136" s="482"/>
      <c r="R136" s="482"/>
      <c r="S136" s="483"/>
      <c r="T136" s="485">
        <v>4194</v>
      </c>
      <c r="U136" s="483"/>
      <c r="V136" s="486"/>
      <c r="W136" s="486"/>
      <c r="X136" s="911"/>
      <c r="Z136" s="650"/>
      <c r="AA136" s="650"/>
      <c r="AB136" s="649"/>
    </row>
    <row r="137" spans="1:28" ht="15" thickBot="1">
      <c r="A137" s="1230"/>
      <c r="B137" s="1232"/>
      <c r="C137" s="143" t="s">
        <v>289</v>
      </c>
      <c r="D137" s="487"/>
      <c r="E137" s="487"/>
      <c r="F137" s="487"/>
      <c r="G137" s="487"/>
      <c r="H137" s="487"/>
      <c r="I137" s="501"/>
      <c r="J137" s="771">
        <f>(J136/J134)*100</f>
        <v>30.747922437673132</v>
      </c>
      <c r="K137" s="506"/>
      <c r="L137" s="506"/>
      <c r="M137" s="506"/>
      <c r="N137" s="503"/>
      <c r="O137" s="503"/>
      <c r="P137" s="503"/>
      <c r="Q137" s="503"/>
      <c r="R137" s="503"/>
      <c r="S137" s="496"/>
      <c r="T137" s="771">
        <f>T136/T134*100</f>
        <v>37.180851063829792</v>
      </c>
      <c r="U137" s="488"/>
      <c r="V137" s="491"/>
      <c r="W137" s="491"/>
      <c r="X137" s="911"/>
      <c r="Z137" s="650"/>
      <c r="AA137" s="650"/>
      <c r="AB137" s="649"/>
    </row>
    <row r="138" spans="1:28">
      <c r="A138" s="1230"/>
      <c r="B138" s="1242" t="s">
        <v>377</v>
      </c>
      <c r="C138" s="123" t="s">
        <v>344</v>
      </c>
      <c r="D138" s="508"/>
      <c r="E138" s="492"/>
      <c r="F138" s="492"/>
      <c r="G138" s="492"/>
      <c r="H138" s="492"/>
      <c r="I138" s="509"/>
      <c r="J138" s="494">
        <v>43330</v>
      </c>
      <c r="K138" s="505"/>
      <c r="L138" s="505"/>
      <c r="M138" s="505"/>
      <c r="N138" s="492"/>
      <c r="O138" s="492"/>
      <c r="P138" s="492"/>
      <c r="Q138" s="492"/>
      <c r="R138" s="492"/>
      <c r="S138" s="493"/>
      <c r="T138" s="494">
        <v>54471</v>
      </c>
      <c r="U138" s="510"/>
      <c r="V138" s="511"/>
      <c r="W138" s="511"/>
      <c r="X138" s="911"/>
      <c r="Z138" s="650"/>
      <c r="AA138" s="650"/>
      <c r="AB138" s="649"/>
    </row>
    <row r="139" spans="1:28">
      <c r="A139" s="1230"/>
      <c r="B139" s="1231"/>
      <c r="C139" s="798" t="s">
        <v>345</v>
      </c>
      <c r="D139" s="482"/>
      <c r="E139" s="482"/>
      <c r="F139" s="482"/>
      <c r="G139" s="482"/>
      <c r="H139" s="482"/>
      <c r="I139" s="499"/>
      <c r="J139" s="485">
        <v>25055</v>
      </c>
      <c r="K139" s="500"/>
      <c r="L139" s="500"/>
      <c r="M139" s="500"/>
      <c r="N139" s="482"/>
      <c r="O139" s="482"/>
      <c r="P139" s="482"/>
      <c r="Q139" s="482"/>
      <c r="R139" s="482"/>
      <c r="S139" s="483"/>
      <c r="T139" s="485">
        <v>29523</v>
      </c>
      <c r="U139" s="483"/>
      <c r="V139" s="486"/>
      <c r="W139" s="486"/>
      <c r="X139" s="911"/>
      <c r="Z139" s="650"/>
      <c r="AA139" s="650"/>
      <c r="AB139" s="649"/>
    </row>
    <row r="140" spans="1:28" ht="15" thickBot="1">
      <c r="A140" s="1230"/>
      <c r="B140" s="1231"/>
      <c r="C140" s="799" t="s">
        <v>346</v>
      </c>
      <c r="D140" s="482"/>
      <c r="E140" s="482"/>
      <c r="F140" s="482"/>
      <c r="G140" s="482"/>
      <c r="H140" s="482"/>
      <c r="I140" s="499"/>
      <c r="J140" s="485">
        <v>18275</v>
      </c>
      <c r="K140" s="500"/>
      <c r="L140" s="500"/>
      <c r="M140" s="500"/>
      <c r="N140" s="482"/>
      <c r="O140" s="482"/>
      <c r="P140" s="482"/>
      <c r="Q140" s="482"/>
      <c r="R140" s="482"/>
      <c r="S140" s="483"/>
      <c r="T140" s="485">
        <v>24945</v>
      </c>
      <c r="U140" s="483"/>
      <c r="V140" s="486"/>
      <c r="W140" s="486"/>
      <c r="X140" s="911"/>
      <c r="Z140" s="650"/>
      <c r="AA140" s="650"/>
      <c r="AB140" s="649"/>
    </row>
    <row r="141" spans="1:28" ht="15" thickBot="1">
      <c r="A141" s="1230"/>
      <c r="B141" s="1232"/>
      <c r="C141" s="143" t="s">
        <v>289</v>
      </c>
      <c r="D141" s="487"/>
      <c r="E141" s="487"/>
      <c r="F141" s="487"/>
      <c r="G141" s="487"/>
      <c r="H141" s="487"/>
      <c r="I141" s="501"/>
      <c r="J141" s="775">
        <f>(J140/J138)*100</f>
        <v>42.176321255481191</v>
      </c>
      <c r="K141" s="506"/>
      <c r="L141" s="506"/>
      <c r="M141" s="506"/>
      <c r="N141" s="503"/>
      <c r="O141" s="503"/>
      <c r="P141" s="503"/>
      <c r="Q141" s="503"/>
      <c r="R141" s="503"/>
      <c r="S141" s="496"/>
      <c r="T141" s="775">
        <f>T140/T138*100</f>
        <v>45.79501018890786</v>
      </c>
      <c r="U141" s="488"/>
      <c r="V141" s="491"/>
      <c r="W141" s="491"/>
      <c r="X141" s="911"/>
      <c r="Z141" s="650"/>
      <c r="AA141" s="650"/>
      <c r="AB141" s="649"/>
    </row>
    <row r="142" spans="1:28">
      <c r="A142" s="1230"/>
      <c r="B142" s="1231" t="s">
        <v>378</v>
      </c>
      <c r="C142" s="123" t="s">
        <v>344</v>
      </c>
      <c r="D142" s="508"/>
      <c r="E142" s="492"/>
      <c r="F142" s="492"/>
      <c r="G142" s="492"/>
      <c r="H142" s="492"/>
      <c r="I142" s="509"/>
      <c r="J142" s="494">
        <v>66330</v>
      </c>
      <c r="K142" s="505"/>
      <c r="L142" s="505"/>
      <c r="M142" s="505"/>
      <c r="N142" s="492"/>
      <c r="O142" s="492"/>
      <c r="P142" s="492"/>
      <c r="Q142" s="492"/>
      <c r="R142" s="492"/>
      <c r="S142" s="493"/>
      <c r="T142" s="494">
        <v>57600</v>
      </c>
      <c r="U142" s="510"/>
      <c r="V142" s="511"/>
      <c r="W142" s="511"/>
      <c r="X142" s="911"/>
      <c r="Z142" s="650"/>
      <c r="AA142" s="650"/>
      <c r="AB142" s="649"/>
    </row>
    <row r="143" spans="1:28">
      <c r="A143" s="1230"/>
      <c r="B143" s="1231"/>
      <c r="C143" s="798" t="s">
        <v>345</v>
      </c>
      <c r="D143" s="482"/>
      <c r="E143" s="482"/>
      <c r="F143" s="482"/>
      <c r="G143" s="482"/>
      <c r="H143" s="482"/>
      <c r="I143" s="499"/>
      <c r="J143" s="485">
        <v>27100</v>
      </c>
      <c r="K143" s="500"/>
      <c r="L143" s="500"/>
      <c r="M143" s="500"/>
      <c r="N143" s="482"/>
      <c r="O143" s="482"/>
      <c r="P143" s="482"/>
      <c r="Q143" s="482"/>
      <c r="R143" s="482"/>
      <c r="S143" s="483"/>
      <c r="T143" s="485">
        <v>25218</v>
      </c>
      <c r="U143" s="483"/>
      <c r="V143" s="486"/>
      <c r="W143" s="486"/>
      <c r="X143" s="911"/>
      <c r="Z143" s="650"/>
      <c r="AA143" s="650"/>
      <c r="AB143" s="649"/>
    </row>
    <row r="144" spans="1:28" ht="15" thickBot="1">
      <c r="A144" s="1230"/>
      <c r="B144" s="1231"/>
      <c r="C144" s="799" t="s">
        <v>346</v>
      </c>
      <c r="D144" s="482"/>
      <c r="E144" s="482"/>
      <c r="F144" s="482"/>
      <c r="G144" s="482"/>
      <c r="H144" s="482"/>
      <c r="I144" s="499"/>
      <c r="J144" s="485">
        <v>39230</v>
      </c>
      <c r="K144" s="500"/>
      <c r="L144" s="500"/>
      <c r="M144" s="500"/>
      <c r="N144" s="482"/>
      <c r="O144" s="482"/>
      <c r="P144" s="482"/>
      <c r="Q144" s="482"/>
      <c r="R144" s="482"/>
      <c r="S144" s="483"/>
      <c r="T144" s="485">
        <v>32382</v>
      </c>
      <c r="U144" s="483"/>
      <c r="V144" s="486"/>
      <c r="W144" s="486"/>
      <c r="X144" s="911"/>
      <c r="Z144" s="650"/>
      <c r="AA144" s="650"/>
      <c r="AB144" s="649"/>
    </row>
    <row r="145" spans="1:28" ht="15" thickBot="1">
      <c r="A145" s="1230"/>
      <c r="B145" s="1232"/>
      <c r="C145" s="143" t="s">
        <v>289</v>
      </c>
      <c r="D145" s="487"/>
      <c r="E145" s="487"/>
      <c r="F145" s="487"/>
      <c r="G145" s="487"/>
      <c r="H145" s="487"/>
      <c r="I145" s="501"/>
      <c r="J145" s="775">
        <f>(J144/J142)*100</f>
        <v>59.143675561586008</v>
      </c>
      <c r="K145" s="506"/>
      <c r="L145" s="506"/>
      <c r="M145" s="506"/>
      <c r="N145" s="503"/>
      <c r="O145" s="503"/>
      <c r="P145" s="503"/>
      <c r="Q145" s="503"/>
      <c r="R145" s="503"/>
      <c r="S145" s="496"/>
      <c r="T145" s="775">
        <f>T144/T142*100</f>
        <v>56.218749999999993</v>
      </c>
      <c r="U145" s="488"/>
      <c r="V145" s="491"/>
      <c r="W145" s="491"/>
      <c r="X145" s="911"/>
      <c r="Z145" s="650"/>
      <c r="AA145" s="650"/>
      <c r="AB145" s="649"/>
    </row>
    <row r="146" spans="1:28">
      <c r="A146" s="1230"/>
      <c r="B146" s="1242" t="s">
        <v>379</v>
      </c>
      <c r="C146" s="123" t="s">
        <v>344</v>
      </c>
      <c r="D146" s="508"/>
      <c r="E146" s="492"/>
      <c r="F146" s="492"/>
      <c r="G146" s="492"/>
      <c r="H146" s="492"/>
      <c r="I146" s="509"/>
      <c r="J146" s="494">
        <v>300</v>
      </c>
      <c r="K146" s="505"/>
      <c r="L146" s="505"/>
      <c r="M146" s="505"/>
      <c r="N146" s="492"/>
      <c r="O146" s="492"/>
      <c r="P146" s="492"/>
      <c r="Q146" s="492"/>
      <c r="R146" s="492"/>
      <c r="S146" s="493"/>
      <c r="T146" s="494">
        <v>16326</v>
      </c>
      <c r="U146" s="510"/>
      <c r="V146" s="511"/>
      <c r="W146" s="511"/>
      <c r="X146" s="911"/>
      <c r="Z146" s="650"/>
      <c r="AA146" s="650"/>
      <c r="AB146" s="649"/>
    </row>
    <row r="147" spans="1:28">
      <c r="A147" s="1230"/>
      <c r="B147" s="1231"/>
      <c r="C147" s="798" t="s">
        <v>345</v>
      </c>
      <c r="D147" s="482"/>
      <c r="E147" s="482"/>
      <c r="F147" s="482"/>
      <c r="G147" s="482"/>
      <c r="H147" s="482"/>
      <c r="I147" s="499"/>
      <c r="J147" s="485">
        <v>225</v>
      </c>
      <c r="K147" s="500"/>
      <c r="L147" s="500"/>
      <c r="M147" s="500"/>
      <c r="N147" s="482"/>
      <c r="O147" s="482"/>
      <c r="P147" s="482"/>
      <c r="Q147" s="482"/>
      <c r="R147" s="482"/>
      <c r="S147" s="483"/>
      <c r="T147" s="485">
        <v>8913</v>
      </c>
      <c r="U147" s="483"/>
      <c r="V147" s="486"/>
      <c r="W147" s="486"/>
      <c r="X147" s="911"/>
      <c r="Z147" s="650"/>
      <c r="AA147" s="650"/>
      <c r="AB147" s="649"/>
    </row>
    <row r="148" spans="1:28" ht="15" thickBot="1">
      <c r="A148" s="1230"/>
      <c r="B148" s="1231"/>
      <c r="C148" s="799" t="s">
        <v>346</v>
      </c>
      <c r="D148" s="482"/>
      <c r="E148" s="482"/>
      <c r="F148" s="482"/>
      <c r="G148" s="482"/>
      <c r="H148" s="482"/>
      <c r="I148" s="499"/>
      <c r="J148" s="485">
        <v>70</v>
      </c>
      <c r="K148" s="500"/>
      <c r="L148" s="500"/>
      <c r="M148" s="500"/>
      <c r="N148" s="482"/>
      <c r="O148" s="482"/>
      <c r="P148" s="482"/>
      <c r="Q148" s="482"/>
      <c r="R148" s="482"/>
      <c r="S148" s="483"/>
      <c r="T148" s="485">
        <v>7416</v>
      </c>
      <c r="U148" s="483"/>
      <c r="V148" s="486"/>
      <c r="W148" s="486"/>
      <c r="X148" s="911"/>
      <c r="Z148" s="650"/>
      <c r="AA148" s="650"/>
      <c r="AB148" s="649"/>
    </row>
    <row r="149" spans="1:28" ht="15" thickBot="1">
      <c r="A149" s="1230"/>
      <c r="B149" s="1232"/>
      <c r="C149" s="143" t="s">
        <v>289</v>
      </c>
      <c r="D149" s="487"/>
      <c r="E149" s="487"/>
      <c r="F149" s="487"/>
      <c r="G149" s="487"/>
      <c r="H149" s="487"/>
      <c r="I149" s="501"/>
      <c r="J149" s="771">
        <f>(J148/J146)*100</f>
        <v>23.333333333333332</v>
      </c>
      <c r="K149" s="506"/>
      <c r="L149" s="506"/>
      <c r="M149" s="506"/>
      <c r="N149" s="503"/>
      <c r="O149" s="503"/>
      <c r="P149" s="503"/>
      <c r="Q149" s="503"/>
      <c r="R149" s="503"/>
      <c r="S149" s="496"/>
      <c r="T149" s="775">
        <f>T148/T146*100</f>
        <v>45.424476295479607</v>
      </c>
      <c r="U149" s="488"/>
      <c r="V149" s="491"/>
      <c r="W149" s="491"/>
      <c r="X149" s="911"/>
      <c r="Z149" s="650"/>
      <c r="AA149" s="650"/>
      <c r="AB149" s="649"/>
    </row>
    <row r="150" spans="1:28">
      <c r="A150" s="1230"/>
      <c r="B150" s="1242" t="s">
        <v>380</v>
      </c>
      <c r="C150" s="123" t="s">
        <v>344</v>
      </c>
      <c r="D150" s="508"/>
      <c r="E150" s="492"/>
      <c r="F150" s="492"/>
      <c r="G150" s="492"/>
      <c r="H150" s="492"/>
      <c r="I150" s="509"/>
      <c r="J150" s="494">
        <v>8660</v>
      </c>
      <c r="K150" s="505"/>
      <c r="L150" s="505"/>
      <c r="M150" s="505"/>
      <c r="N150" s="492"/>
      <c r="O150" s="492"/>
      <c r="P150" s="492"/>
      <c r="Q150" s="492"/>
      <c r="R150" s="492"/>
      <c r="S150" s="493"/>
      <c r="T150" s="494">
        <v>11082</v>
      </c>
      <c r="U150" s="510"/>
      <c r="V150" s="511"/>
      <c r="W150" s="511"/>
      <c r="X150" s="911"/>
      <c r="Z150" s="650"/>
      <c r="AA150" s="650"/>
      <c r="AB150" s="649"/>
    </row>
    <row r="151" spans="1:28">
      <c r="A151" s="1230"/>
      <c r="B151" s="1231"/>
      <c r="C151" s="798" t="s">
        <v>345</v>
      </c>
      <c r="D151" s="482"/>
      <c r="E151" s="482"/>
      <c r="F151" s="482"/>
      <c r="G151" s="482"/>
      <c r="H151" s="482"/>
      <c r="I151" s="499"/>
      <c r="J151" s="485">
        <v>4030</v>
      </c>
      <c r="K151" s="500"/>
      <c r="L151" s="500"/>
      <c r="M151" s="500"/>
      <c r="N151" s="482"/>
      <c r="O151" s="482"/>
      <c r="P151" s="482"/>
      <c r="Q151" s="482"/>
      <c r="R151" s="482"/>
      <c r="S151" s="483"/>
      <c r="T151" s="485">
        <v>5052</v>
      </c>
      <c r="U151" s="483"/>
      <c r="V151" s="486"/>
      <c r="W151" s="486"/>
    </row>
    <row r="152" spans="1:28" ht="15" thickBot="1">
      <c r="A152" s="1230"/>
      <c r="B152" s="1231"/>
      <c r="C152" s="799" t="s">
        <v>346</v>
      </c>
      <c r="D152" s="482"/>
      <c r="E152" s="482"/>
      <c r="F152" s="482"/>
      <c r="G152" s="482"/>
      <c r="H152" s="482"/>
      <c r="I152" s="499"/>
      <c r="J152" s="485">
        <v>4630</v>
      </c>
      <c r="K152" s="500"/>
      <c r="L152" s="500"/>
      <c r="M152" s="500"/>
      <c r="N152" s="482"/>
      <c r="O152" s="482"/>
      <c r="P152" s="482"/>
      <c r="Q152" s="482"/>
      <c r="R152" s="482"/>
      <c r="S152" s="483"/>
      <c r="T152" s="485">
        <v>6030</v>
      </c>
      <c r="U152" s="483"/>
      <c r="V152" s="486"/>
      <c r="W152" s="486"/>
    </row>
    <row r="153" spans="1:28" ht="15" thickBot="1">
      <c r="A153" s="1230"/>
      <c r="B153" s="1232"/>
      <c r="C153" s="143" t="s">
        <v>289</v>
      </c>
      <c r="D153" s="487"/>
      <c r="E153" s="487"/>
      <c r="F153" s="487"/>
      <c r="G153" s="487"/>
      <c r="H153" s="487"/>
      <c r="I153" s="501"/>
      <c r="J153" s="775">
        <f>(J152/J150)*100</f>
        <v>53.464203233256349</v>
      </c>
      <c r="K153" s="506"/>
      <c r="L153" s="506"/>
      <c r="M153" s="506"/>
      <c r="N153" s="503"/>
      <c r="O153" s="503"/>
      <c r="P153" s="503"/>
      <c r="Q153" s="503"/>
      <c r="R153" s="503"/>
      <c r="S153" s="496"/>
      <c r="T153" s="775">
        <f>T152/T150*100</f>
        <v>54.412560909583107</v>
      </c>
      <c r="U153" s="488"/>
      <c r="V153" s="491"/>
      <c r="W153" s="491"/>
    </row>
    <row r="154" spans="1:28">
      <c r="A154" s="1230"/>
      <c r="B154" s="1242" t="s">
        <v>381</v>
      </c>
      <c r="C154" s="123" t="s">
        <v>344</v>
      </c>
      <c r="D154" s="508"/>
      <c r="E154" s="492"/>
      <c r="F154" s="492"/>
      <c r="G154" s="492"/>
      <c r="H154" s="492"/>
      <c r="I154" s="509"/>
      <c r="J154" s="494">
        <v>7790</v>
      </c>
      <c r="K154" s="505"/>
      <c r="L154" s="505"/>
      <c r="M154" s="505"/>
      <c r="N154" s="492"/>
      <c r="O154" s="492"/>
      <c r="P154" s="492"/>
      <c r="Q154" s="492"/>
      <c r="R154" s="492"/>
      <c r="S154" s="493"/>
      <c r="T154" s="494">
        <v>8763</v>
      </c>
      <c r="U154" s="510"/>
      <c r="V154" s="511"/>
      <c r="W154" s="511"/>
    </row>
    <row r="155" spans="1:28" ht="14.5" customHeight="1">
      <c r="A155" s="1230"/>
      <c r="B155" s="1231"/>
      <c r="C155" s="798" t="s">
        <v>345</v>
      </c>
      <c r="D155" s="482"/>
      <c r="E155" s="482"/>
      <c r="F155" s="482"/>
      <c r="G155" s="482"/>
      <c r="H155" s="482"/>
      <c r="I155" s="499"/>
      <c r="J155" s="485">
        <v>1970</v>
      </c>
      <c r="K155" s="500"/>
      <c r="L155" s="500"/>
      <c r="M155" s="500"/>
      <c r="N155" s="482"/>
      <c r="O155" s="482"/>
      <c r="P155" s="482"/>
      <c r="Q155" s="482"/>
      <c r="R155" s="482"/>
      <c r="S155" s="483"/>
      <c r="T155" s="485">
        <v>2478</v>
      </c>
      <c r="U155" s="483"/>
      <c r="V155" s="486"/>
      <c r="W155" s="486"/>
    </row>
    <row r="156" spans="1:28" ht="15" thickBot="1">
      <c r="A156" s="1230"/>
      <c r="B156" s="1231"/>
      <c r="C156" s="799" t="s">
        <v>346</v>
      </c>
      <c r="D156" s="482"/>
      <c r="E156" s="482"/>
      <c r="F156" s="482"/>
      <c r="G156" s="482"/>
      <c r="H156" s="482"/>
      <c r="I156" s="499"/>
      <c r="J156" s="485">
        <v>5820</v>
      </c>
      <c r="K156" s="500"/>
      <c r="L156" s="500"/>
      <c r="M156" s="500"/>
      <c r="N156" s="482"/>
      <c r="O156" s="482"/>
      <c r="P156" s="482"/>
      <c r="Q156" s="482"/>
      <c r="R156" s="482"/>
      <c r="S156" s="483"/>
      <c r="T156" s="485">
        <v>6282</v>
      </c>
      <c r="U156" s="483"/>
      <c r="V156" s="486"/>
      <c r="W156" s="486"/>
    </row>
    <row r="157" spans="1:28" ht="15" thickBot="1">
      <c r="A157" s="1230"/>
      <c r="B157" s="1232"/>
      <c r="C157" s="143" t="s">
        <v>289</v>
      </c>
      <c r="D157" s="487"/>
      <c r="E157" s="487"/>
      <c r="F157" s="487"/>
      <c r="G157" s="487"/>
      <c r="H157" s="487"/>
      <c r="I157" s="501"/>
      <c r="J157" s="770">
        <f>(J156/J154)*100</f>
        <v>74.711168164313221</v>
      </c>
      <c r="K157" s="506"/>
      <c r="L157" s="506"/>
      <c r="M157" s="506"/>
      <c r="N157" s="503"/>
      <c r="O157" s="503"/>
      <c r="P157" s="503"/>
      <c r="Q157" s="503"/>
      <c r="R157" s="503"/>
      <c r="S157" s="496"/>
      <c r="T157" s="770">
        <f>T156/T154*100</f>
        <v>71.687778158165017</v>
      </c>
      <c r="U157" s="488"/>
      <c r="V157" s="491"/>
      <c r="W157" s="491"/>
    </row>
    <row r="158" spans="1:28">
      <c r="A158" s="1230"/>
      <c r="B158" s="1242" t="s">
        <v>382</v>
      </c>
      <c r="C158" s="123" t="s">
        <v>344</v>
      </c>
      <c r="D158" s="508"/>
      <c r="E158" s="492"/>
      <c r="F158" s="492"/>
      <c r="G158" s="492"/>
      <c r="H158" s="492"/>
      <c r="I158" s="509"/>
      <c r="J158" s="494">
        <v>22140</v>
      </c>
      <c r="K158" s="505"/>
      <c r="L158" s="505"/>
      <c r="M158" s="505"/>
      <c r="N158" s="492"/>
      <c r="O158" s="492"/>
      <c r="P158" s="492"/>
      <c r="Q158" s="492"/>
      <c r="R158" s="492"/>
      <c r="S158" s="493"/>
      <c r="T158" s="494">
        <v>20238</v>
      </c>
      <c r="U158" s="510"/>
      <c r="V158" s="511"/>
      <c r="W158" s="511"/>
    </row>
    <row r="159" spans="1:28">
      <c r="A159" s="1230"/>
      <c r="B159" s="1231"/>
      <c r="C159" s="798" t="s">
        <v>345</v>
      </c>
      <c r="D159" s="482"/>
      <c r="E159" s="482"/>
      <c r="F159" s="482"/>
      <c r="G159" s="482"/>
      <c r="H159" s="482"/>
      <c r="I159" s="499"/>
      <c r="J159" s="485">
        <v>4255</v>
      </c>
      <c r="K159" s="500"/>
      <c r="L159" s="500"/>
      <c r="M159" s="500"/>
      <c r="N159" s="482"/>
      <c r="O159" s="482"/>
      <c r="P159" s="482"/>
      <c r="Q159" s="482"/>
      <c r="R159" s="482"/>
      <c r="S159" s="483"/>
      <c r="T159" s="485">
        <v>3414</v>
      </c>
      <c r="U159" s="483"/>
      <c r="V159" s="537"/>
      <c r="W159" s="537"/>
    </row>
    <row r="160" spans="1:28" ht="15" thickBot="1">
      <c r="A160" s="1230"/>
      <c r="B160" s="1231"/>
      <c r="C160" s="799" t="s">
        <v>346</v>
      </c>
      <c r="D160" s="482"/>
      <c r="E160" s="482"/>
      <c r="F160" s="482"/>
      <c r="G160" s="482"/>
      <c r="H160" s="482"/>
      <c r="I160" s="499"/>
      <c r="J160" s="485">
        <v>17885</v>
      </c>
      <c r="K160" s="500"/>
      <c r="L160" s="500"/>
      <c r="M160" s="500"/>
      <c r="N160" s="482"/>
      <c r="O160" s="482"/>
      <c r="P160" s="482"/>
      <c r="Q160" s="482"/>
      <c r="R160" s="482"/>
      <c r="S160" s="483"/>
      <c r="T160" s="485">
        <v>16821</v>
      </c>
      <c r="U160" s="483"/>
      <c r="V160" s="486"/>
      <c r="W160" s="486"/>
    </row>
    <row r="161" spans="1:23" ht="15" thickBot="1">
      <c r="A161" s="1230"/>
      <c r="B161" s="1232"/>
      <c r="C161" s="143" t="s">
        <v>289</v>
      </c>
      <c r="D161" s="487"/>
      <c r="E161" s="487"/>
      <c r="F161" s="487"/>
      <c r="G161" s="487"/>
      <c r="H161" s="487"/>
      <c r="I161" s="501"/>
      <c r="J161" s="770">
        <f>(J160/J158)*100</f>
        <v>80.781391147244804</v>
      </c>
      <c r="K161" s="506"/>
      <c r="L161" s="506"/>
      <c r="M161" s="506"/>
      <c r="N161" s="503"/>
      <c r="O161" s="503"/>
      <c r="P161" s="503"/>
      <c r="Q161" s="503"/>
      <c r="R161" s="503"/>
      <c r="S161" s="496"/>
      <c r="T161" s="770">
        <f>T160/T158*100</f>
        <v>83.115920545508445</v>
      </c>
      <c r="U161" s="488"/>
      <c r="V161" s="491"/>
      <c r="W161" s="491"/>
    </row>
    <row r="162" spans="1:23">
      <c r="A162" s="1230"/>
      <c r="B162" s="1242" t="s">
        <v>383</v>
      </c>
      <c r="C162" s="123" t="s">
        <v>344</v>
      </c>
      <c r="D162" s="508"/>
      <c r="E162" s="492"/>
      <c r="F162" s="492"/>
      <c r="G162" s="492"/>
      <c r="H162" s="492"/>
      <c r="I162" s="509"/>
      <c r="J162" s="494">
        <v>15980</v>
      </c>
      <c r="K162" s="505"/>
      <c r="L162" s="505"/>
      <c r="M162" s="505"/>
      <c r="N162" s="492"/>
      <c r="O162" s="492"/>
      <c r="P162" s="492"/>
      <c r="Q162" s="492"/>
      <c r="R162" s="492"/>
      <c r="S162" s="493"/>
      <c r="T162" s="494">
        <v>11682</v>
      </c>
      <c r="U162" s="510"/>
      <c r="V162" s="511"/>
      <c r="W162" s="511"/>
    </row>
    <row r="163" spans="1:23">
      <c r="A163" s="1230"/>
      <c r="B163" s="1231"/>
      <c r="C163" s="798" t="s">
        <v>345</v>
      </c>
      <c r="D163" s="482"/>
      <c r="E163" s="482"/>
      <c r="F163" s="482"/>
      <c r="G163" s="482"/>
      <c r="H163" s="482"/>
      <c r="I163" s="499"/>
      <c r="J163" s="485">
        <v>1080</v>
      </c>
      <c r="K163" s="500"/>
      <c r="L163" s="500"/>
      <c r="M163" s="500"/>
      <c r="N163" s="482"/>
      <c r="O163" s="482"/>
      <c r="P163" s="482"/>
      <c r="Q163" s="482"/>
      <c r="R163" s="482"/>
      <c r="S163" s="483"/>
      <c r="T163" s="485">
        <v>1236</v>
      </c>
      <c r="U163" s="483"/>
      <c r="V163" s="486"/>
      <c r="W163" s="486"/>
    </row>
    <row r="164" spans="1:23" ht="15" thickBot="1">
      <c r="A164" s="1230"/>
      <c r="B164" s="1231"/>
      <c r="C164" s="799" t="s">
        <v>346</v>
      </c>
      <c r="D164" s="482"/>
      <c r="E164" s="482"/>
      <c r="F164" s="482"/>
      <c r="G164" s="482"/>
      <c r="H164" s="482"/>
      <c r="I164" s="499"/>
      <c r="J164" s="485">
        <v>14900</v>
      </c>
      <c r="K164" s="500"/>
      <c r="L164" s="500"/>
      <c r="M164" s="500"/>
      <c r="N164" s="482"/>
      <c r="O164" s="482"/>
      <c r="P164" s="482"/>
      <c r="Q164" s="482"/>
      <c r="R164" s="482"/>
      <c r="S164" s="483"/>
      <c r="T164" s="485">
        <v>10446</v>
      </c>
      <c r="U164" s="483"/>
      <c r="V164" s="486"/>
      <c r="W164" s="486"/>
    </row>
    <row r="165" spans="1:23" ht="15" thickBot="1">
      <c r="A165" s="1230"/>
      <c r="B165" s="1232"/>
      <c r="C165" s="143" t="s">
        <v>289</v>
      </c>
      <c r="D165" s="487"/>
      <c r="E165" s="487"/>
      <c r="F165" s="487"/>
      <c r="G165" s="487"/>
      <c r="H165" s="487"/>
      <c r="I165" s="501"/>
      <c r="J165" s="770">
        <f>(J164/J162)*100</f>
        <v>93.241551939924904</v>
      </c>
      <c r="K165" s="506"/>
      <c r="L165" s="506"/>
      <c r="M165" s="506"/>
      <c r="N165" s="503"/>
      <c r="O165" s="503"/>
      <c r="P165" s="503"/>
      <c r="Q165" s="503"/>
      <c r="R165" s="503"/>
      <c r="S165" s="496"/>
      <c r="T165" s="770">
        <f>T164/T162*100</f>
        <v>89.419619928094505</v>
      </c>
      <c r="U165" s="488"/>
      <c r="V165" s="491"/>
      <c r="W165" s="491"/>
    </row>
    <row r="166" spans="1:23">
      <c r="A166" s="1230"/>
      <c r="B166" s="1242" t="s">
        <v>384</v>
      </c>
      <c r="C166" s="123" t="s">
        <v>344</v>
      </c>
      <c r="D166" s="508"/>
      <c r="E166" s="492"/>
      <c r="F166" s="492"/>
      <c r="G166" s="492"/>
      <c r="H166" s="492"/>
      <c r="I166" s="509"/>
      <c r="J166" s="494">
        <v>36935</v>
      </c>
      <c r="K166" s="505"/>
      <c r="L166" s="505"/>
      <c r="M166" s="505"/>
      <c r="N166" s="492"/>
      <c r="O166" s="492"/>
      <c r="P166" s="492"/>
      <c r="Q166" s="492"/>
      <c r="R166" s="492"/>
      <c r="S166" s="493"/>
      <c r="T166" s="494">
        <v>37668</v>
      </c>
      <c r="U166" s="510"/>
      <c r="V166" s="511"/>
      <c r="W166" s="511"/>
    </row>
    <row r="167" spans="1:23">
      <c r="A167" s="1230"/>
      <c r="B167" s="1231"/>
      <c r="C167" s="798" t="s">
        <v>345</v>
      </c>
      <c r="D167" s="482"/>
      <c r="E167" s="482"/>
      <c r="F167" s="482"/>
      <c r="G167" s="482"/>
      <c r="H167" s="482"/>
      <c r="I167" s="499"/>
      <c r="J167" s="485">
        <v>20165</v>
      </c>
      <c r="K167" s="500"/>
      <c r="L167" s="500"/>
      <c r="M167" s="500"/>
      <c r="N167" s="482"/>
      <c r="O167" s="482"/>
      <c r="P167" s="482"/>
      <c r="Q167" s="482"/>
      <c r="R167" s="482"/>
      <c r="S167" s="483"/>
      <c r="T167" s="485">
        <v>19971</v>
      </c>
      <c r="U167" s="483"/>
      <c r="V167" s="486"/>
      <c r="W167" s="486"/>
    </row>
    <row r="168" spans="1:23" ht="15" thickBot="1">
      <c r="A168" s="1230"/>
      <c r="B168" s="1231"/>
      <c r="C168" s="799" t="s">
        <v>346</v>
      </c>
      <c r="D168" s="482"/>
      <c r="E168" s="482"/>
      <c r="F168" s="482"/>
      <c r="G168" s="482"/>
      <c r="H168" s="482"/>
      <c r="I168" s="499"/>
      <c r="J168" s="485">
        <v>16770</v>
      </c>
      <c r="K168" s="500"/>
      <c r="L168" s="500"/>
      <c r="M168" s="500"/>
      <c r="N168" s="482"/>
      <c r="O168" s="482"/>
      <c r="P168" s="482"/>
      <c r="Q168" s="482"/>
      <c r="R168" s="482"/>
      <c r="S168" s="483"/>
      <c r="T168" s="485">
        <v>17700</v>
      </c>
      <c r="U168" s="483"/>
      <c r="V168" s="486"/>
      <c r="W168" s="486"/>
    </row>
    <row r="169" spans="1:23" ht="15" thickBot="1">
      <c r="A169" s="1230"/>
      <c r="B169" s="1232"/>
      <c r="C169" s="143" t="s">
        <v>289</v>
      </c>
      <c r="D169" s="487"/>
      <c r="E169" s="487"/>
      <c r="F169" s="487"/>
      <c r="G169" s="487"/>
      <c r="H169" s="487"/>
      <c r="I169" s="501"/>
      <c r="J169" s="775">
        <f>(J168/J166)*100</f>
        <v>45.404088263165022</v>
      </c>
      <c r="K169" s="506"/>
      <c r="L169" s="506"/>
      <c r="M169" s="506"/>
      <c r="N169" s="503"/>
      <c r="O169" s="503"/>
      <c r="P169" s="503"/>
      <c r="Q169" s="503"/>
      <c r="R169" s="503"/>
      <c r="S169" s="496"/>
      <c r="T169" s="775">
        <f>T168/T166*100</f>
        <v>46.989487097801849</v>
      </c>
      <c r="U169" s="488"/>
      <c r="V169" s="491"/>
      <c r="W169" s="491"/>
    </row>
    <row r="170" spans="1:23">
      <c r="A170" s="1230"/>
      <c r="B170" s="1242" t="s">
        <v>385</v>
      </c>
      <c r="C170" s="123" t="s">
        <v>344</v>
      </c>
      <c r="D170" s="508"/>
      <c r="E170" s="492"/>
      <c r="F170" s="492"/>
      <c r="G170" s="492"/>
      <c r="H170" s="492"/>
      <c r="I170" s="509"/>
      <c r="J170" s="494">
        <v>29015</v>
      </c>
      <c r="K170" s="505"/>
      <c r="L170" s="505"/>
      <c r="M170" s="505"/>
      <c r="N170" s="492"/>
      <c r="O170" s="492"/>
      <c r="P170" s="492"/>
      <c r="Q170" s="492"/>
      <c r="R170" s="492"/>
      <c r="S170" s="493"/>
      <c r="T170" s="494">
        <v>29814</v>
      </c>
      <c r="U170" s="510"/>
      <c r="V170" s="511"/>
      <c r="W170" s="511"/>
    </row>
    <row r="171" spans="1:23">
      <c r="A171" s="1230"/>
      <c r="B171" s="1231"/>
      <c r="C171" s="798" t="s">
        <v>345</v>
      </c>
      <c r="D171" s="482"/>
      <c r="E171" s="482"/>
      <c r="F171" s="482"/>
      <c r="G171" s="482"/>
      <c r="H171" s="482"/>
      <c r="I171" s="499"/>
      <c r="J171" s="485">
        <v>24050</v>
      </c>
      <c r="K171" s="500"/>
      <c r="L171" s="500"/>
      <c r="M171" s="500"/>
      <c r="N171" s="482"/>
      <c r="O171" s="482"/>
      <c r="P171" s="482"/>
      <c r="Q171" s="482"/>
      <c r="R171" s="482"/>
      <c r="S171" s="483"/>
      <c r="T171" s="485">
        <v>23583</v>
      </c>
      <c r="U171" s="483"/>
      <c r="V171" s="486"/>
      <c r="W171" s="486"/>
    </row>
    <row r="172" spans="1:23" ht="15" thickBot="1">
      <c r="A172" s="1230"/>
      <c r="B172" s="1231"/>
      <c r="C172" s="799" t="s">
        <v>346</v>
      </c>
      <c r="D172" s="482"/>
      <c r="E172" s="482"/>
      <c r="F172" s="482"/>
      <c r="G172" s="482"/>
      <c r="H172" s="482"/>
      <c r="I172" s="499"/>
      <c r="J172" s="485">
        <v>4965</v>
      </c>
      <c r="K172" s="500"/>
      <c r="L172" s="500"/>
      <c r="M172" s="500"/>
      <c r="N172" s="482"/>
      <c r="O172" s="482"/>
      <c r="P172" s="482"/>
      <c r="Q172" s="482"/>
      <c r="R172" s="482"/>
      <c r="S172" s="483"/>
      <c r="T172" s="485">
        <v>6231</v>
      </c>
      <c r="U172" s="483"/>
      <c r="V172" s="486"/>
      <c r="W172" s="486"/>
    </row>
    <row r="173" spans="1:23" ht="15" thickBot="1">
      <c r="A173" s="1230"/>
      <c r="B173" s="1232"/>
      <c r="C173" s="143" t="s">
        <v>289</v>
      </c>
      <c r="D173" s="487"/>
      <c r="E173" s="487"/>
      <c r="F173" s="487"/>
      <c r="G173" s="487"/>
      <c r="H173" s="487"/>
      <c r="I173" s="501"/>
      <c r="J173" s="771">
        <f>(J172/J170)*100</f>
        <v>17.111838704118558</v>
      </c>
      <c r="K173" s="506"/>
      <c r="L173" s="506"/>
      <c r="M173" s="506"/>
      <c r="N173" s="503"/>
      <c r="O173" s="503"/>
      <c r="P173" s="503"/>
      <c r="Q173" s="503"/>
      <c r="R173" s="503"/>
      <c r="S173" s="496"/>
      <c r="T173" s="771">
        <f>T172/T170*100</f>
        <v>20.899577379754479</v>
      </c>
      <c r="U173" s="488"/>
      <c r="V173" s="491"/>
      <c r="W173" s="491"/>
    </row>
    <row r="174" spans="1:23">
      <c r="A174" s="1230"/>
      <c r="B174" s="1242" t="s">
        <v>386</v>
      </c>
      <c r="C174" s="123" t="s">
        <v>344</v>
      </c>
      <c r="D174" s="508"/>
      <c r="E174" s="492"/>
      <c r="F174" s="492"/>
      <c r="G174" s="492"/>
      <c r="H174" s="492"/>
      <c r="I174" s="509"/>
      <c r="J174" s="494">
        <v>5280</v>
      </c>
      <c r="K174" s="505"/>
      <c r="L174" s="505"/>
      <c r="M174" s="505"/>
      <c r="N174" s="492"/>
      <c r="O174" s="492"/>
      <c r="P174" s="492"/>
      <c r="Q174" s="492"/>
      <c r="R174" s="492"/>
      <c r="S174" s="493"/>
      <c r="T174" s="494">
        <v>3579</v>
      </c>
      <c r="U174" s="510"/>
      <c r="V174" s="511"/>
      <c r="W174" s="511"/>
    </row>
    <row r="175" spans="1:23" ht="14.5" customHeight="1">
      <c r="A175" s="1230"/>
      <c r="B175" s="1231"/>
      <c r="C175" s="798" t="s">
        <v>345</v>
      </c>
      <c r="D175" s="482"/>
      <c r="E175" s="482"/>
      <c r="F175" s="482"/>
      <c r="G175" s="482"/>
      <c r="H175" s="482"/>
      <c r="I175" s="499"/>
      <c r="J175" s="485">
        <v>3895</v>
      </c>
      <c r="K175" s="500"/>
      <c r="L175" s="500"/>
      <c r="M175" s="500"/>
      <c r="N175" s="482"/>
      <c r="O175" s="482"/>
      <c r="P175" s="482"/>
      <c r="Q175" s="482"/>
      <c r="R175" s="482"/>
      <c r="S175" s="483"/>
      <c r="T175" s="485">
        <v>2670</v>
      </c>
      <c r="U175" s="483"/>
      <c r="V175" s="486"/>
      <c r="W175" s="486"/>
    </row>
    <row r="176" spans="1:23" ht="15" thickBot="1">
      <c r="A176" s="1230"/>
      <c r="B176" s="1231"/>
      <c r="C176" s="799" t="s">
        <v>346</v>
      </c>
      <c r="D176" s="482"/>
      <c r="E176" s="482"/>
      <c r="F176" s="482"/>
      <c r="G176" s="482"/>
      <c r="H176" s="482"/>
      <c r="I176" s="499"/>
      <c r="J176" s="485">
        <v>1385</v>
      </c>
      <c r="K176" s="500"/>
      <c r="L176" s="500"/>
      <c r="M176" s="500"/>
      <c r="N176" s="482"/>
      <c r="O176" s="482"/>
      <c r="P176" s="482"/>
      <c r="Q176" s="482"/>
      <c r="R176" s="482"/>
      <c r="S176" s="483"/>
      <c r="T176" s="485">
        <v>909</v>
      </c>
      <c r="U176" s="483"/>
      <c r="V176" s="486"/>
      <c r="W176" s="486"/>
    </row>
    <row r="177" spans="1:23" ht="15" thickBot="1">
      <c r="A177" s="1230"/>
      <c r="B177" s="1232"/>
      <c r="C177" s="143" t="s">
        <v>289</v>
      </c>
      <c r="D177" s="487"/>
      <c r="E177" s="487"/>
      <c r="F177" s="487"/>
      <c r="G177" s="487"/>
      <c r="H177" s="487"/>
      <c r="I177" s="501"/>
      <c r="J177" s="771">
        <f>(J176/J174)*100</f>
        <v>26.231060606060609</v>
      </c>
      <c r="K177" s="506"/>
      <c r="L177" s="506"/>
      <c r="M177" s="506"/>
      <c r="N177" s="503"/>
      <c r="O177" s="503"/>
      <c r="P177" s="503"/>
      <c r="Q177" s="503"/>
      <c r="R177" s="503"/>
      <c r="S177" s="496"/>
      <c r="T177" s="771">
        <f>T176/T174*100</f>
        <v>25.398155909471921</v>
      </c>
      <c r="U177" s="488"/>
      <c r="V177" s="491"/>
      <c r="W177" s="491"/>
    </row>
    <row r="178" spans="1:23">
      <c r="A178" s="1230"/>
      <c r="B178" s="1231" t="s">
        <v>387</v>
      </c>
      <c r="C178" s="121" t="s">
        <v>344</v>
      </c>
      <c r="D178" s="512"/>
      <c r="E178" s="492"/>
      <c r="F178" s="492"/>
      <c r="G178" s="492"/>
      <c r="H178" s="492"/>
      <c r="I178" s="513"/>
      <c r="J178" s="480">
        <v>780</v>
      </c>
      <c r="K178" s="514"/>
      <c r="L178" s="514"/>
      <c r="M178" s="514"/>
      <c r="N178" s="515"/>
      <c r="O178" s="515"/>
      <c r="P178" s="515"/>
      <c r="Q178" s="515"/>
      <c r="R178" s="515"/>
      <c r="S178" s="479"/>
      <c r="T178" s="480">
        <v>309</v>
      </c>
      <c r="U178" s="516"/>
      <c r="V178" s="517"/>
      <c r="W178" s="517"/>
    </row>
    <row r="179" spans="1:23">
      <c r="A179" s="1230"/>
      <c r="B179" s="1231"/>
      <c r="C179" s="798" t="s">
        <v>345</v>
      </c>
      <c r="D179" s="482"/>
      <c r="E179" s="482"/>
      <c r="F179" s="482"/>
      <c r="G179" s="482"/>
      <c r="H179" s="482"/>
      <c r="I179" s="499"/>
      <c r="J179" s="485">
        <v>375</v>
      </c>
      <c r="K179" s="500"/>
      <c r="L179" s="500"/>
      <c r="M179" s="500"/>
      <c r="N179" s="482"/>
      <c r="O179" s="482"/>
      <c r="P179" s="482"/>
      <c r="Q179" s="482"/>
      <c r="R179" s="482"/>
      <c r="S179" s="483"/>
      <c r="T179" s="485">
        <v>192</v>
      </c>
      <c r="U179" s="483"/>
      <c r="V179" s="486"/>
      <c r="W179" s="486"/>
    </row>
    <row r="180" spans="1:23" ht="15" thickBot="1">
      <c r="A180" s="1230"/>
      <c r="B180" s="1231"/>
      <c r="C180" s="799" t="s">
        <v>346</v>
      </c>
      <c r="D180" s="482"/>
      <c r="E180" s="482"/>
      <c r="F180" s="482"/>
      <c r="G180" s="482"/>
      <c r="H180" s="482"/>
      <c r="I180" s="499"/>
      <c r="J180" s="485">
        <v>405</v>
      </c>
      <c r="K180" s="500"/>
      <c r="L180" s="500"/>
      <c r="M180" s="500"/>
      <c r="N180" s="482"/>
      <c r="O180" s="482"/>
      <c r="P180" s="482"/>
      <c r="Q180" s="482"/>
      <c r="R180" s="482"/>
      <c r="S180" s="483"/>
      <c r="T180" s="485">
        <v>117</v>
      </c>
      <c r="U180" s="483"/>
      <c r="V180" s="486"/>
      <c r="W180" s="486"/>
    </row>
    <row r="181" spans="1:23" ht="15" thickBot="1">
      <c r="A181" s="1230"/>
      <c r="B181" s="1232"/>
      <c r="C181" s="143" t="s">
        <v>289</v>
      </c>
      <c r="D181" s="487"/>
      <c r="E181" s="487"/>
      <c r="F181" s="487"/>
      <c r="G181" s="487"/>
      <c r="H181" s="487"/>
      <c r="I181" s="501"/>
      <c r="J181" s="775">
        <f>(J180/J178)*100</f>
        <v>51.923076923076927</v>
      </c>
      <c r="K181" s="506"/>
      <c r="L181" s="506"/>
      <c r="M181" s="506"/>
      <c r="N181" s="503"/>
      <c r="O181" s="503"/>
      <c r="P181" s="503"/>
      <c r="Q181" s="503"/>
      <c r="R181" s="503"/>
      <c r="S181" s="496"/>
      <c r="T181" s="771">
        <f>T180/T178*100</f>
        <v>37.864077669902912</v>
      </c>
      <c r="U181" s="488"/>
      <c r="V181" s="491"/>
      <c r="W181" s="491"/>
    </row>
    <row r="182" spans="1:23">
      <c r="A182" s="1230"/>
      <c r="B182" s="1242" t="s">
        <v>388</v>
      </c>
      <c r="C182" s="123" t="s">
        <v>344</v>
      </c>
      <c r="D182" s="508"/>
      <c r="E182" s="492"/>
      <c r="F182" s="492"/>
      <c r="G182" s="492"/>
      <c r="H182" s="492"/>
      <c r="I182" s="509"/>
      <c r="J182" s="494">
        <v>50</v>
      </c>
      <c r="K182" s="505"/>
      <c r="L182" s="505"/>
      <c r="M182" s="505"/>
      <c r="N182" s="492"/>
      <c r="O182" s="492"/>
      <c r="P182" s="492"/>
      <c r="Q182" s="492"/>
      <c r="R182" s="492"/>
      <c r="S182" s="493"/>
      <c r="T182" s="494">
        <v>189</v>
      </c>
      <c r="U182" s="510"/>
      <c r="V182" s="511"/>
      <c r="W182" s="511"/>
    </row>
    <row r="183" spans="1:23">
      <c r="A183" s="1230"/>
      <c r="B183" s="1231"/>
      <c r="C183" s="798" t="s">
        <v>345</v>
      </c>
      <c r="D183" s="482"/>
      <c r="E183" s="482"/>
      <c r="F183" s="482"/>
      <c r="G183" s="482"/>
      <c r="H183" s="482"/>
      <c r="I183" s="499"/>
      <c r="J183" s="485">
        <v>30</v>
      </c>
      <c r="K183" s="500"/>
      <c r="L183" s="500"/>
      <c r="M183" s="500"/>
      <c r="N183" s="482"/>
      <c r="O183" s="482"/>
      <c r="P183" s="482"/>
      <c r="Q183" s="482"/>
      <c r="R183" s="482"/>
      <c r="S183" s="483"/>
      <c r="T183" s="485">
        <v>81</v>
      </c>
      <c r="U183" s="483"/>
      <c r="V183" s="486"/>
      <c r="W183" s="486"/>
    </row>
    <row r="184" spans="1:23" ht="15" thickBot="1">
      <c r="A184" s="1230"/>
      <c r="B184" s="1231"/>
      <c r="C184" s="799" t="s">
        <v>346</v>
      </c>
      <c r="D184" s="482"/>
      <c r="E184" s="482"/>
      <c r="F184" s="482"/>
      <c r="G184" s="482"/>
      <c r="H184" s="482"/>
      <c r="I184" s="499"/>
      <c r="J184" s="485">
        <v>20</v>
      </c>
      <c r="K184" s="500"/>
      <c r="L184" s="500"/>
      <c r="M184" s="500"/>
      <c r="N184" s="482"/>
      <c r="O184" s="482"/>
      <c r="P184" s="482"/>
      <c r="Q184" s="482"/>
      <c r="R184" s="482"/>
      <c r="S184" s="483"/>
      <c r="T184" s="485">
        <v>108</v>
      </c>
      <c r="U184" s="483"/>
      <c r="V184" s="486"/>
      <c r="W184" s="486"/>
    </row>
    <row r="185" spans="1:23" ht="15" thickBot="1">
      <c r="A185" s="1230"/>
      <c r="B185" s="1232"/>
      <c r="C185" s="143" t="s">
        <v>289</v>
      </c>
      <c r="D185" s="487"/>
      <c r="E185" s="487"/>
      <c r="F185" s="487"/>
      <c r="G185" s="487"/>
      <c r="H185" s="487"/>
      <c r="I185" s="501"/>
      <c r="J185" s="775">
        <f>(J184/J182)*100</f>
        <v>40</v>
      </c>
      <c r="K185" s="506"/>
      <c r="L185" s="506"/>
      <c r="M185" s="506"/>
      <c r="N185" s="503"/>
      <c r="O185" s="503"/>
      <c r="P185" s="503"/>
      <c r="Q185" s="503"/>
      <c r="R185" s="503"/>
      <c r="S185" s="496"/>
      <c r="T185" s="775">
        <f>T184/T182*100</f>
        <v>57.142857142857139</v>
      </c>
      <c r="U185" s="488"/>
      <c r="V185" s="491"/>
      <c r="W185" s="491"/>
    </row>
    <row r="186" spans="1:23">
      <c r="A186" s="1230"/>
      <c r="B186" s="1242" t="s">
        <v>389</v>
      </c>
      <c r="C186" s="123" t="s">
        <v>344</v>
      </c>
      <c r="D186" s="508"/>
      <c r="E186" s="492"/>
      <c r="F186" s="492"/>
      <c r="G186" s="492"/>
      <c r="H186" s="492"/>
      <c r="I186" s="509"/>
      <c r="J186" s="494">
        <v>315</v>
      </c>
      <c r="K186" s="505"/>
      <c r="L186" s="505"/>
      <c r="M186" s="505"/>
      <c r="N186" s="492"/>
      <c r="O186" s="492"/>
      <c r="P186" s="492"/>
      <c r="Q186" s="492"/>
      <c r="R186" s="492"/>
      <c r="S186" s="493"/>
      <c r="T186" s="494">
        <v>117</v>
      </c>
      <c r="U186" s="510"/>
      <c r="V186" s="511"/>
      <c r="W186" s="511"/>
    </row>
    <row r="187" spans="1:23" ht="14.5" customHeight="1">
      <c r="A187" s="1230"/>
      <c r="B187" s="1231"/>
      <c r="C187" s="798" t="s">
        <v>345</v>
      </c>
      <c r="D187" s="482"/>
      <c r="E187" s="482"/>
      <c r="F187" s="482"/>
      <c r="G187" s="482"/>
      <c r="H187" s="482"/>
      <c r="I187" s="499"/>
      <c r="J187" s="485">
        <v>110</v>
      </c>
      <c r="K187" s="500"/>
      <c r="L187" s="500"/>
      <c r="M187" s="500"/>
      <c r="N187" s="482"/>
      <c r="O187" s="482"/>
      <c r="P187" s="482"/>
      <c r="Q187" s="482"/>
      <c r="R187" s="482"/>
      <c r="S187" s="483"/>
      <c r="T187" s="485">
        <v>78</v>
      </c>
      <c r="U187" s="483"/>
      <c r="V187" s="486"/>
      <c r="W187" s="486"/>
    </row>
    <row r="188" spans="1:23" ht="15" thickBot="1">
      <c r="A188" s="1230"/>
      <c r="B188" s="1231"/>
      <c r="C188" s="799" t="s">
        <v>346</v>
      </c>
      <c r="D188" s="482"/>
      <c r="E188" s="482"/>
      <c r="F188" s="482"/>
      <c r="G188" s="482"/>
      <c r="H188" s="482"/>
      <c r="I188" s="499"/>
      <c r="J188" s="485">
        <v>205</v>
      </c>
      <c r="K188" s="500"/>
      <c r="L188" s="500"/>
      <c r="M188" s="500"/>
      <c r="N188" s="482"/>
      <c r="O188" s="482"/>
      <c r="P188" s="482"/>
      <c r="Q188" s="482"/>
      <c r="R188" s="482"/>
      <c r="S188" s="483"/>
      <c r="T188" s="485">
        <v>39</v>
      </c>
      <c r="U188" s="483"/>
      <c r="V188" s="486"/>
      <c r="W188" s="486"/>
    </row>
    <row r="189" spans="1:23" ht="15" thickBot="1">
      <c r="A189" s="1230"/>
      <c r="B189" s="1232"/>
      <c r="C189" s="143" t="s">
        <v>289</v>
      </c>
      <c r="D189" s="487"/>
      <c r="E189" s="487"/>
      <c r="F189" s="487"/>
      <c r="G189" s="487"/>
      <c r="H189" s="487"/>
      <c r="I189" s="501"/>
      <c r="J189" s="770">
        <f>(J188/J186)*100</f>
        <v>65.079365079365076</v>
      </c>
      <c r="K189" s="506"/>
      <c r="L189" s="506"/>
      <c r="M189" s="506"/>
      <c r="N189" s="503"/>
      <c r="O189" s="503"/>
      <c r="P189" s="503"/>
      <c r="Q189" s="503"/>
      <c r="R189" s="503"/>
      <c r="S189" s="496"/>
      <c r="T189" s="771">
        <f>T188/T186*100</f>
        <v>33.333333333333329</v>
      </c>
      <c r="U189" s="488"/>
      <c r="V189" s="491"/>
      <c r="W189" s="491"/>
    </row>
    <row r="190" spans="1:23">
      <c r="A190" s="1230"/>
      <c r="B190" s="1242" t="s">
        <v>390</v>
      </c>
      <c r="C190" s="123" t="s">
        <v>344</v>
      </c>
      <c r="D190" s="508"/>
      <c r="E190" s="492"/>
      <c r="F190" s="492"/>
      <c r="G190" s="492"/>
      <c r="H190" s="492"/>
      <c r="I190" s="509"/>
      <c r="J190" s="494">
        <v>16860</v>
      </c>
      <c r="K190" s="505"/>
      <c r="L190" s="505"/>
      <c r="M190" s="505"/>
      <c r="N190" s="492"/>
      <c r="O190" s="492"/>
      <c r="P190" s="492"/>
      <c r="Q190" s="492"/>
      <c r="R190" s="492"/>
      <c r="S190" s="493"/>
      <c r="T190" s="494">
        <v>23055</v>
      </c>
      <c r="U190" s="510"/>
      <c r="V190" s="511"/>
      <c r="W190" s="511"/>
    </row>
    <row r="191" spans="1:23" ht="14.5" customHeight="1">
      <c r="A191" s="1230"/>
      <c r="B191" s="1231"/>
      <c r="C191" s="798" t="s">
        <v>345</v>
      </c>
      <c r="D191" s="482"/>
      <c r="E191" s="482"/>
      <c r="F191" s="482"/>
      <c r="G191" s="482"/>
      <c r="H191" s="482"/>
      <c r="I191" s="499"/>
      <c r="J191" s="485">
        <v>14455</v>
      </c>
      <c r="K191" s="500"/>
      <c r="L191" s="500"/>
      <c r="M191" s="500"/>
      <c r="N191" s="482"/>
      <c r="O191" s="482"/>
      <c r="P191" s="482"/>
      <c r="Q191" s="482"/>
      <c r="R191" s="482"/>
      <c r="S191" s="483"/>
      <c r="T191" s="485">
        <v>21534</v>
      </c>
      <c r="U191" s="483"/>
      <c r="V191" s="486"/>
      <c r="W191" s="486"/>
    </row>
    <row r="192" spans="1:23" ht="15" thickBot="1">
      <c r="A192" s="1230"/>
      <c r="B192" s="1231"/>
      <c r="C192" s="799" t="s">
        <v>346</v>
      </c>
      <c r="D192" s="482"/>
      <c r="E192" s="482"/>
      <c r="F192" s="482"/>
      <c r="G192" s="482"/>
      <c r="H192" s="482"/>
      <c r="I192" s="499"/>
      <c r="J192" s="485">
        <v>2405</v>
      </c>
      <c r="K192" s="500"/>
      <c r="L192" s="500"/>
      <c r="M192" s="500"/>
      <c r="N192" s="482"/>
      <c r="O192" s="482"/>
      <c r="P192" s="482"/>
      <c r="Q192" s="482"/>
      <c r="R192" s="482"/>
      <c r="S192" s="483"/>
      <c r="T192" s="485">
        <v>1521</v>
      </c>
      <c r="U192" s="483"/>
      <c r="V192" s="486"/>
      <c r="W192" s="486"/>
    </row>
    <row r="193" spans="1:23" ht="15" thickBot="1">
      <c r="A193" s="1230"/>
      <c r="B193" s="1232"/>
      <c r="C193" s="143" t="s">
        <v>289</v>
      </c>
      <c r="D193" s="487"/>
      <c r="E193" s="487"/>
      <c r="F193" s="487"/>
      <c r="G193" s="487"/>
      <c r="H193" s="487"/>
      <c r="I193" s="501"/>
      <c r="J193" s="771">
        <f>(J192/J190)*100</f>
        <v>14.264531435349943</v>
      </c>
      <c r="K193" s="506"/>
      <c r="L193" s="506"/>
      <c r="M193" s="506"/>
      <c r="N193" s="503"/>
      <c r="O193" s="503"/>
      <c r="P193" s="503"/>
      <c r="Q193" s="503"/>
      <c r="R193" s="503"/>
      <c r="S193" s="496"/>
      <c r="T193" s="771">
        <f>T192/T190*100</f>
        <v>6.5972674040338326</v>
      </c>
      <c r="U193" s="488"/>
      <c r="V193" s="491"/>
      <c r="W193" s="491"/>
    </row>
    <row r="194" spans="1:23">
      <c r="A194" s="1230"/>
      <c r="B194" s="1242" t="s">
        <v>391</v>
      </c>
      <c r="C194" s="123" t="s">
        <v>344</v>
      </c>
      <c r="D194" s="508"/>
      <c r="E194" s="492"/>
      <c r="F194" s="492"/>
      <c r="G194" s="492"/>
      <c r="H194" s="492"/>
      <c r="I194" s="509"/>
      <c r="J194" s="494">
        <v>15950</v>
      </c>
      <c r="K194" s="505"/>
      <c r="L194" s="505"/>
      <c r="M194" s="505"/>
      <c r="N194" s="492"/>
      <c r="O194" s="492"/>
      <c r="P194" s="492"/>
      <c r="Q194" s="492"/>
      <c r="R194" s="492"/>
      <c r="S194" s="493"/>
      <c r="T194" s="494">
        <v>9960</v>
      </c>
      <c r="U194" s="510"/>
      <c r="V194" s="511"/>
      <c r="W194" s="511"/>
    </row>
    <row r="195" spans="1:23">
      <c r="A195" s="1230"/>
      <c r="B195" s="1231"/>
      <c r="C195" s="798" t="s">
        <v>345</v>
      </c>
      <c r="D195" s="482"/>
      <c r="E195" s="482"/>
      <c r="F195" s="482"/>
      <c r="G195" s="482"/>
      <c r="H195" s="482"/>
      <c r="I195" s="499"/>
      <c r="J195" s="485">
        <v>13315</v>
      </c>
      <c r="K195" s="500"/>
      <c r="L195" s="500"/>
      <c r="M195" s="500"/>
      <c r="N195" s="482"/>
      <c r="O195" s="482"/>
      <c r="P195" s="482"/>
      <c r="Q195" s="482"/>
      <c r="R195" s="482"/>
      <c r="S195" s="483"/>
      <c r="T195" s="485">
        <v>9276</v>
      </c>
      <c r="U195" s="483"/>
      <c r="V195" s="486"/>
      <c r="W195" s="486"/>
    </row>
    <row r="196" spans="1:23" ht="15" thickBot="1">
      <c r="A196" s="1230"/>
      <c r="B196" s="1231"/>
      <c r="C196" s="799" t="s">
        <v>346</v>
      </c>
      <c r="D196" s="482"/>
      <c r="E196" s="482"/>
      <c r="F196" s="482"/>
      <c r="G196" s="482"/>
      <c r="H196" s="482"/>
      <c r="I196" s="499"/>
      <c r="J196" s="485">
        <v>2635</v>
      </c>
      <c r="K196" s="500"/>
      <c r="L196" s="500"/>
      <c r="M196" s="500"/>
      <c r="N196" s="482"/>
      <c r="O196" s="482"/>
      <c r="P196" s="482"/>
      <c r="Q196" s="482"/>
      <c r="R196" s="482"/>
      <c r="S196" s="483"/>
      <c r="T196" s="485">
        <v>681</v>
      </c>
      <c r="U196" s="483"/>
      <c r="V196" s="486"/>
      <c r="W196" s="486"/>
    </row>
    <row r="197" spans="1:23" ht="15" thickBot="1">
      <c r="A197" s="1230"/>
      <c r="B197" s="1232"/>
      <c r="C197" s="143" t="s">
        <v>289</v>
      </c>
      <c r="D197" s="487"/>
      <c r="E197" s="487"/>
      <c r="F197" s="487"/>
      <c r="G197" s="487"/>
      <c r="H197" s="487"/>
      <c r="I197" s="501"/>
      <c r="J197" s="771">
        <f>(J196/J194)*100</f>
        <v>16.520376175548591</v>
      </c>
      <c r="K197" s="506"/>
      <c r="L197" s="506"/>
      <c r="M197" s="506"/>
      <c r="N197" s="503"/>
      <c r="O197" s="503"/>
      <c r="P197" s="503"/>
      <c r="Q197" s="503"/>
      <c r="R197" s="503"/>
      <c r="S197" s="496"/>
      <c r="T197" s="771">
        <f>T196/T194*100</f>
        <v>6.8373493975903612</v>
      </c>
      <c r="U197" s="488"/>
      <c r="V197" s="491"/>
      <c r="W197" s="491"/>
    </row>
    <row r="198" spans="1:23" ht="14.5" customHeight="1">
      <c r="A198" s="1230"/>
      <c r="B198" s="1242" t="s">
        <v>392</v>
      </c>
      <c r="C198" s="123" t="s">
        <v>344</v>
      </c>
      <c r="D198" s="508"/>
      <c r="E198" s="492"/>
      <c r="F198" s="492"/>
      <c r="G198" s="492"/>
      <c r="H198" s="492"/>
      <c r="I198" s="509"/>
      <c r="J198" s="494">
        <v>9060</v>
      </c>
      <c r="K198" s="505"/>
      <c r="L198" s="505"/>
      <c r="M198" s="505"/>
      <c r="N198" s="492"/>
      <c r="O198" s="492"/>
      <c r="P198" s="492"/>
      <c r="Q198" s="492"/>
      <c r="R198" s="492"/>
      <c r="S198" s="493"/>
      <c r="T198" s="494">
        <v>4554</v>
      </c>
      <c r="U198" s="510"/>
      <c r="V198" s="511"/>
      <c r="W198" s="511"/>
    </row>
    <row r="199" spans="1:23">
      <c r="A199" s="1230"/>
      <c r="B199" s="1231"/>
      <c r="C199" s="798" t="s">
        <v>345</v>
      </c>
      <c r="D199" s="482"/>
      <c r="E199" s="482"/>
      <c r="F199" s="482"/>
      <c r="G199" s="482"/>
      <c r="H199" s="482"/>
      <c r="I199" s="499"/>
      <c r="J199" s="485">
        <v>7730</v>
      </c>
      <c r="K199" s="500"/>
      <c r="L199" s="500"/>
      <c r="M199" s="500"/>
      <c r="N199" s="482"/>
      <c r="O199" s="482"/>
      <c r="P199" s="482"/>
      <c r="Q199" s="482"/>
      <c r="R199" s="482"/>
      <c r="S199" s="483"/>
      <c r="T199" s="485">
        <v>4299</v>
      </c>
      <c r="U199" s="483"/>
      <c r="V199" s="486"/>
      <c r="W199" s="486"/>
    </row>
    <row r="200" spans="1:23" ht="15" thickBot="1">
      <c r="A200" s="1230"/>
      <c r="B200" s="1231"/>
      <c r="C200" s="799" t="s">
        <v>346</v>
      </c>
      <c r="D200" s="482"/>
      <c r="E200" s="482"/>
      <c r="F200" s="482"/>
      <c r="G200" s="482"/>
      <c r="H200" s="482"/>
      <c r="I200" s="499"/>
      <c r="J200" s="485">
        <v>1325</v>
      </c>
      <c r="K200" s="500"/>
      <c r="L200" s="500"/>
      <c r="M200" s="500"/>
      <c r="N200" s="482"/>
      <c r="O200" s="482"/>
      <c r="P200" s="482"/>
      <c r="Q200" s="482"/>
      <c r="R200" s="482"/>
      <c r="S200" s="483"/>
      <c r="T200" s="485">
        <v>258</v>
      </c>
      <c r="U200" s="483"/>
      <c r="V200" s="486"/>
      <c r="W200" s="486"/>
    </row>
    <row r="201" spans="1:23" ht="15" thickBot="1">
      <c r="A201" s="1230"/>
      <c r="B201" s="1232"/>
      <c r="C201" s="143" t="s">
        <v>289</v>
      </c>
      <c r="D201" s="487"/>
      <c r="E201" s="487"/>
      <c r="F201" s="487"/>
      <c r="G201" s="487"/>
      <c r="H201" s="487"/>
      <c r="I201" s="501"/>
      <c r="J201" s="771">
        <f>(J200/J198)*100</f>
        <v>14.624724061810154</v>
      </c>
      <c r="K201" s="506"/>
      <c r="L201" s="506"/>
      <c r="M201" s="506"/>
      <c r="N201" s="503"/>
      <c r="O201" s="503"/>
      <c r="P201" s="503"/>
      <c r="Q201" s="503"/>
      <c r="R201" s="503"/>
      <c r="S201" s="496"/>
      <c r="T201" s="771">
        <f>T200/T198*100</f>
        <v>5.6653491436100127</v>
      </c>
      <c r="U201" s="488"/>
      <c r="V201" s="491"/>
      <c r="W201" s="491"/>
    </row>
    <row r="202" spans="1:23">
      <c r="A202" s="1230"/>
      <c r="B202" s="1242" t="s">
        <v>393</v>
      </c>
      <c r="C202" s="123" t="s">
        <v>344</v>
      </c>
      <c r="D202" s="508"/>
      <c r="E202" s="492"/>
      <c r="F202" s="492"/>
      <c r="G202" s="492"/>
      <c r="H202" s="492"/>
      <c r="I202" s="509"/>
      <c r="J202" s="494">
        <v>9020</v>
      </c>
      <c r="K202" s="505"/>
      <c r="L202" s="505"/>
      <c r="M202" s="505"/>
      <c r="N202" s="492"/>
      <c r="O202" s="492"/>
      <c r="P202" s="492"/>
      <c r="Q202" s="492"/>
      <c r="R202" s="492"/>
      <c r="S202" s="493"/>
      <c r="T202" s="494">
        <v>9201</v>
      </c>
      <c r="U202" s="510"/>
      <c r="V202" s="511"/>
      <c r="W202" s="511"/>
    </row>
    <row r="203" spans="1:23">
      <c r="A203" s="1230"/>
      <c r="B203" s="1231"/>
      <c r="C203" s="798" t="s">
        <v>345</v>
      </c>
      <c r="D203" s="482"/>
      <c r="E203" s="482"/>
      <c r="F203" s="482"/>
      <c r="G203" s="482"/>
      <c r="H203" s="482"/>
      <c r="I203" s="499"/>
      <c r="J203" s="485">
        <v>8500</v>
      </c>
      <c r="K203" s="500"/>
      <c r="L203" s="500"/>
      <c r="M203" s="500"/>
      <c r="N203" s="482"/>
      <c r="O203" s="482"/>
      <c r="P203" s="482"/>
      <c r="Q203" s="482"/>
      <c r="R203" s="482"/>
      <c r="S203" s="483"/>
      <c r="T203" s="485">
        <v>8598</v>
      </c>
      <c r="U203" s="483"/>
      <c r="V203" s="486"/>
      <c r="W203" s="486"/>
    </row>
    <row r="204" spans="1:23" ht="15" thickBot="1">
      <c r="A204" s="1230"/>
      <c r="B204" s="1231"/>
      <c r="C204" s="799" t="s">
        <v>346</v>
      </c>
      <c r="D204" s="482"/>
      <c r="E204" s="482"/>
      <c r="F204" s="482"/>
      <c r="G204" s="482"/>
      <c r="H204" s="482"/>
      <c r="I204" s="499"/>
      <c r="J204" s="485">
        <v>520</v>
      </c>
      <c r="K204" s="500"/>
      <c r="L204" s="500"/>
      <c r="M204" s="500"/>
      <c r="N204" s="482"/>
      <c r="O204" s="482"/>
      <c r="P204" s="482"/>
      <c r="Q204" s="482"/>
      <c r="R204" s="482"/>
      <c r="S204" s="483"/>
      <c r="T204" s="485">
        <v>603</v>
      </c>
      <c r="U204" s="483"/>
      <c r="V204" s="486"/>
      <c r="W204" s="486"/>
    </row>
    <row r="205" spans="1:23" ht="15" thickBot="1">
      <c r="A205" s="1230"/>
      <c r="B205" s="1232"/>
      <c r="C205" s="143" t="s">
        <v>289</v>
      </c>
      <c r="D205" s="487"/>
      <c r="E205" s="487"/>
      <c r="F205" s="487"/>
      <c r="G205" s="487"/>
      <c r="H205" s="487"/>
      <c r="I205" s="501"/>
      <c r="J205" s="771">
        <f>(J204/J202)*100</f>
        <v>5.7649667405764964</v>
      </c>
      <c r="K205" s="506"/>
      <c r="L205" s="506"/>
      <c r="M205" s="506"/>
      <c r="N205" s="503"/>
      <c r="O205" s="503"/>
      <c r="P205" s="503"/>
      <c r="Q205" s="503"/>
      <c r="R205" s="503"/>
      <c r="S205" s="496"/>
      <c r="T205" s="771">
        <f>T204/T202*100</f>
        <v>6.5536354744049561</v>
      </c>
      <c r="U205" s="488"/>
      <c r="V205" s="491"/>
      <c r="W205" s="491"/>
    </row>
    <row r="206" spans="1:23">
      <c r="A206" s="1230"/>
      <c r="B206" s="1242" t="s">
        <v>394</v>
      </c>
      <c r="C206" s="123" t="s">
        <v>344</v>
      </c>
      <c r="D206" s="508"/>
      <c r="E206" s="492"/>
      <c r="F206" s="492"/>
      <c r="G206" s="492"/>
      <c r="H206" s="492"/>
      <c r="I206" s="509"/>
      <c r="J206" s="494">
        <v>14760</v>
      </c>
      <c r="K206" s="505"/>
      <c r="L206" s="505"/>
      <c r="M206" s="505"/>
      <c r="N206" s="492"/>
      <c r="O206" s="492"/>
      <c r="P206" s="492"/>
      <c r="Q206" s="492"/>
      <c r="R206" s="492"/>
      <c r="S206" s="493"/>
      <c r="T206" s="494">
        <v>13245</v>
      </c>
      <c r="U206" s="510"/>
      <c r="V206" s="511"/>
      <c r="W206" s="511"/>
    </row>
    <row r="207" spans="1:23">
      <c r="A207" s="1230"/>
      <c r="B207" s="1231"/>
      <c r="C207" s="798" t="s">
        <v>345</v>
      </c>
      <c r="D207" s="482"/>
      <c r="E207" s="482"/>
      <c r="F207" s="482"/>
      <c r="G207" s="482"/>
      <c r="H207" s="482"/>
      <c r="I207" s="499"/>
      <c r="J207" s="485">
        <v>12655</v>
      </c>
      <c r="K207" s="500"/>
      <c r="L207" s="500"/>
      <c r="M207" s="500"/>
      <c r="N207" s="482"/>
      <c r="O207" s="482"/>
      <c r="P207" s="482"/>
      <c r="Q207" s="482"/>
      <c r="R207" s="482"/>
      <c r="S207" s="483"/>
      <c r="T207" s="485">
        <v>12054</v>
      </c>
      <c r="U207" s="483"/>
      <c r="V207" s="486"/>
      <c r="W207" s="486"/>
    </row>
    <row r="208" spans="1:23" ht="15" thickBot="1">
      <c r="A208" s="1230"/>
      <c r="B208" s="1231"/>
      <c r="C208" s="799" t="s">
        <v>346</v>
      </c>
      <c r="D208" s="482"/>
      <c r="E208" s="482"/>
      <c r="F208" s="482"/>
      <c r="G208" s="482"/>
      <c r="H208" s="482"/>
      <c r="I208" s="499"/>
      <c r="J208" s="485">
        <v>2110</v>
      </c>
      <c r="K208" s="500"/>
      <c r="L208" s="500"/>
      <c r="M208" s="500"/>
      <c r="N208" s="482"/>
      <c r="O208" s="482"/>
      <c r="P208" s="482"/>
      <c r="Q208" s="482"/>
      <c r="R208" s="482"/>
      <c r="S208" s="483"/>
      <c r="T208" s="485">
        <v>1191</v>
      </c>
      <c r="U208" s="483"/>
      <c r="V208" s="486"/>
      <c r="W208" s="486"/>
    </row>
    <row r="209" spans="1:23" ht="15" thickBot="1">
      <c r="A209" s="1230"/>
      <c r="B209" s="1232"/>
      <c r="C209" s="143" t="s">
        <v>289</v>
      </c>
      <c r="D209" s="487"/>
      <c r="E209" s="487"/>
      <c r="F209" s="487"/>
      <c r="G209" s="487"/>
      <c r="H209" s="487"/>
      <c r="I209" s="501"/>
      <c r="J209" s="771">
        <f>(J208/J206)*100</f>
        <v>14.295392953929539</v>
      </c>
      <c r="K209" s="506"/>
      <c r="L209" s="506"/>
      <c r="M209" s="506"/>
      <c r="N209" s="503"/>
      <c r="O209" s="503"/>
      <c r="P209" s="503"/>
      <c r="Q209" s="503"/>
      <c r="R209" s="503"/>
      <c r="S209" s="496"/>
      <c r="T209" s="771">
        <f>T208/T206*100</f>
        <v>8.9920724801812</v>
      </c>
      <c r="U209" s="488"/>
      <c r="V209" s="491"/>
      <c r="W209" s="491"/>
    </row>
    <row r="210" spans="1:23">
      <c r="A210" s="1230"/>
      <c r="B210" s="1242" t="s">
        <v>395</v>
      </c>
      <c r="C210" s="123" t="s">
        <v>344</v>
      </c>
      <c r="D210" s="508"/>
      <c r="E210" s="492"/>
      <c r="F210" s="492"/>
      <c r="G210" s="492"/>
      <c r="H210" s="492"/>
      <c r="I210" s="509"/>
      <c r="J210" s="494">
        <v>8535</v>
      </c>
      <c r="K210" s="505"/>
      <c r="L210" s="505"/>
      <c r="M210" s="505"/>
      <c r="N210" s="492"/>
      <c r="O210" s="492"/>
      <c r="P210" s="492"/>
      <c r="Q210" s="492"/>
      <c r="R210" s="492"/>
      <c r="S210" s="493"/>
      <c r="T210" s="494">
        <v>3420</v>
      </c>
      <c r="U210" s="510"/>
      <c r="V210" s="511"/>
      <c r="W210" s="511"/>
    </row>
    <row r="211" spans="1:23" ht="14.5" customHeight="1">
      <c r="A211" s="1230"/>
      <c r="B211" s="1231"/>
      <c r="C211" s="798" t="s">
        <v>345</v>
      </c>
      <c r="D211" s="482"/>
      <c r="E211" s="482"/>
      <c r="F211" s="482"/>
      <c r="G211" s="482"/>
      <c r="H211" s="482"/>
      <c r="I211" s="499"/>
      <c r="J211" s="485">
        <v>6290</v>
      </c>
      <c r="K211" s="500"/>
      <c r="L211" s="500"/>
      <c r="M211" s="500"/>
      <c r="N211" s="482"/>
      <c r="O211" s="482"/>
      <c r="P211" s="482"/>
      <c r="Q211" s="482"/>
      <c r="R211" s="482"/>
      <c r="S211" s="483"/>
      <c r="T211" s="485">
        <v>2505</v>
      </c>
      <c r="U211" s="483"/>
      <c r="V211" s="486"/>
      <c r="W211" s="486"/>
    </row>
    <row r="212" spans="1:23" ht="15" thickBot="1">
      <c r="A212" s="1230"/>
      <c r="B212" s="1231"/>
      <c r="C212" s="799" t="s">
        <v>346</v>
      </c>
      <c r="D212" s="482"/>
      <c r="E212" s="482"/>
      <c r="F212" s="482"/>
      <c r="G212" s="482"/>
      <c r="H212" s="482"/>
      <c r="I212" s="499"/>
      <c r="J212" s="485">
        <v>2245</v>
      </c>
      <c r="K212" s="500"/>
      <c r="L212" s="500"/>
      <c r="M212" s="500"/>
      <c r="N212" s="482"/>
      <c r="O212" s="482"/>
      <c r="P212" s="482"/>
      <c r="Q212" s="482"/>
      <c r="R212" s="482"/>
      <c r="S212" s="483"/>
      <c r="T212" s="485">
        <v>915</v>
      </c>
      <c r="U212" s="483"/>
      <c r="V212" s="486"/>
      <c r="W212" s="486"/>
    </row>
    <row r="213" spans="1:23" ht="15" thickBot="1">
      <c r="A213" s="1230"/>
      <c r="B213" s="1232"/>
      <c r="C213" s="143" t="s">
        <v>289</v>
      </c>
      <c r="D213" s="487"/>
      <c r="E213" s="487"/>
      <c r="F213" s="487"/>
      <c r="G213" s="487"/>
      <c r="H213" s="487"/>
      <c r="I213" s="501"/>
      <c r="J213" s="771">
        <f>(J212/J210)*100</f>
        <v>26.303456356180433</v>
      </c>
      <c r="K213" s="506"/>
      <c r="L213" s="506"/>
      <c r="M213" s="506"/>
      <c r="N213" s="503"/>
      <c r="O213" s="503"/>
      <c r="P213" s="503"/>
      <c r="Q213" s="503"/>
      <c r="R213" s="503"/>
      <c r="S213" s="496"/>
      <c r="T213" s="771">
        <f>T212/T210*100</f>
        <v>26.754385964912281</v>
      </c>
      <c r="U213" s="488"/>
      <c r="V213" s="491"/>
      <c r="W213" s="491"/>
    </row>
    <row r="214" spans="1:23">
      <c r="A214" s="1230"/>
      <c r="B214" s="1242" t="s">
        <v>396</v>
      </c>
      <c r="C214" s="123" t="s">
        <v>344</v>
      </c>
      <c r="D214" s="508"/>
      <c r="E214" s="492"/>
      <c r="F214" s="492"/>
      <c r="G214" s="492"/>
      <c r="H214" s="492"/>
      <c r="I214" s="509"/>
      <c r="J214" s="494">
        <v>4090</v>
      </c>
      <c r="K214" s="505"/>
      <c r="L214" s="505"/>
      <c r="M214" s="505"/>
      <c r="N214" s="492"/>
      <c r="O214" s="492"/>
      <c r="P214" s="492"/>
      <c r="Q214" s="492"/>
      <c r="R214" s="492"/>
      <c r="S214" s="493"/>
      <c r="T214" s="494">
        <v>2826</v>
      </c>
      <c r="U214" s="510"/>
      <c r="V214" s="511"/>
      <c r="W214" s="511"/>
    </row>
    <row r="215" spans="1:23">
      <c r="A215" s="1230"/>
      <c r="B215" s="1231"/>
      <c r="C215" s="798" t="s">
        <v>345</v>
      </c>
      <c r="D215" s="482"/>
      <c r="E215" s="482"/>
      <c r="F215" s="482"/>
      <c r="G215" s="482"/>
      <c r="H215" s="482"/>
      <c r="I215" s="499"/>
      <c r="J215" s="485">
        <v>3025</v>
      </c>
      <c r="K215" s="500"/>
      <c r="L215" s="500"/>
      <c r="M215" s="500"/>
      <c r="N215" s="482"/>
      <c r="O215" s="482"/>
      <c r="P215" s="482"/>
      <c r="Q215" s="482"/>
      <c r="R215" s="482"/>
      <c r="S215" s="483"/>
      <c r="T215" s="485">
        <v>1947</v>
      </c>
      <c r="U215" s="483"/>
      <c r="V215" s="486"/>
      <c r="W215" s="486"/>
    </row>
    <row r="216" spans="1:23" ht="15" thickBot="1">
      <c r="A216" s="1230"/>
      <c r="B216" s="1231"/>
      <c r="C216" s="799" t="s">
        <v>346</v>
      </c>
      <c r="D216" s="482"/>
      <c r="E216" s="482"/>
      <c r="F216" s="482"/>
      <c r="G216" s="482"/>
      <c r="H216" s="482"/>
      <c r="I216" s="499"/>
      <c r="J216" s="485">
        <v>1065</v>
      </c>
      <c r="K216" s="500"/>
      <c r="L216" s="500"/>
      <c r="M216" s="500"/>
      <c r="N216" s="482"/>
      <c r="O216" s="482"/>
      <c r="P216" s="482"/>
      <c r="Q216" s="482"/>
      <c r="R216" s="482"/>
      <c r="S216" s="483"/>
      <c r="T216" s="485">
        <v>879</v>
      </c>
      <c r="U216" s="483"/>
      <c r="V216" s="486"/>
      <c r="W216" s="486"/>
    </row>
    <row r="217" spans="1:23" ht="15" thickBot="1">
      <c r="A217" s="1230"/>
      <c r="B217" s="1232"/>
      <c r="C217" s="143" t="s">
        <v>289</v>
      </c>
      <c r="D217" s="487"/>
      <c r="E217" s="487"/>
      <c r="F217" s="487"/>
      <c r="G217" s="487"/>
      <c r="H217" s="487"/>
      <c r="I217" s="501"/>
      <c r="J217" s="771">
        <f>(J216/J214)*100</f>
        <v>26.039119804400979</v>
      </c>
      <c r="K217" s="506"/>
      <c r="L217" s="506"/>
      <c r="M217" s="506"/>
      <c r="N217" s="503"/>
      <c r="O217" s="503"/>
      <c r="P217" s="503"/>
      <c r="Q217" s="503"/>
      <c r="R217" s="503"/>
      <c r="S217" s="496"/>
      <c r="T217" s="771">
        <f>T216/T214*100</f>
        <v>31.104033970276006</v>
      </c>
      <c r="U217" s="488"/>
      <c r="V217" s="491"/>
      <c r="W217" s="491"/>
    </row>
    <row r="218" spans="1:23">
      <c r="A218" s="1230"/>
      <c r="B218" s="1242" t="s">
        <v>397</v>
      </c>
      <c r="C218" s="123" t="s">
        <v>344</v>
      </c>
      <c r="D218" s="508"/>
      <c r="E218" s="492"/>
      <c r="F218" s="492"/>
      <c r="G218" s="492"/>
      <c r="H218" s="492"/>
      <c r="I218" s="509"/>
      <c r="J218" s="494">
        <v>4770</v>
      </c>
      <c r="K218" s="505"/>
      <c r="L218" s="505"/>
      <c r="M218" s="505"/>
      <c r="N218" s="492"/>
      <c r="O218" s="492"/>
      <c r="P218" s="492"/>
      <c r="Q218" s="492"/>
      <c r="R218" s="492"/>
      <c r="S218" s="493"/>
      <c r="T218" s="494">
        <v>5334</v>
      </c>
      <c r="U218" s="510"/>
      <c r="V218" s="511"/>
      <c r="W218" s="511"/>
    </row>
    <row r="219" spans="1:23">
      <c r="A219" s="1230"/>
      <c r="B219" s="1231"/>
      <c r="C219" s="798" t="s">
        <v>345</v>
      </c>
      <c r="D219" s="482"/>
      <c r="E219" s="482"/>
      <c r="F219" s="482"/>
      <c r="G219" s="482"/>
      <c r="H219" s="482"/>
      <c r="I219" s="499"/>
      <c r="J219" s="485">
        <v>2655</v>
      </c>
      <c r="K219" s="500"/>
      <c r="L219" s="500"/>
      <c r="M219" s="500"/>
      <c r="N219" s="482"/>
      <c r="O219" s="482"/>
      <c r="P219" s="482"/>
      <c r="Q219" s="482"/>
      <c r="R219" s="482"/>
      <c r="S219" s="483"/>
      <c r="T219" s="485">
        <v>3768</v>
      </c>
      <c r="U219" s="483"/>
      <c r="V219" s="486"/>
      <c r="W219" s="486"/>
    </row>
    <row r="220" spans="1:23" ht="15" thickBot="1">
      <c r="A220" s="1230"/>
      <c r="B220" s="1231"/>
      <c r="C220" s="799" t="s">
        <v>346</v>
      </c>
      <c r="D220" s="482"/>
      <c r="E220" s="482"/>
      <c r="F220" s="482"/>
      <c r="G220" s="482"/>
      <c r="H220" s="482"/>
      <c r="I220" s="499"/>
      <c r="J220" s="485">
        <v>2115</v>
      </c>
      <c r="K220" s="500"/>
      <c r="L220" s="500"/>
      <c r="M220" s="500"/>
      <c r="N220" s="482"/>
      <c r="O220" s="482"/>
      <c r="P220" s="482"/>
      <c r="Q220" s="482"/>
      <c r="R220" s="482"/>
      <c r="S220" s="483"/>
      <c r="T220" s="485">
        <v>1569</v>
      </c>
      <c r="U220" s="483"/>
      <c r="V220" s="486"/>
      <c r="W220" s="486"/>
    </row>
    <row r="221" spans="1:23" ht="15" thickBot="1">
      <c r="A221" s="1230"/>
      <c r="B221" s="1232"/>
      <c r="C221" s="143" t="s">
        <v>289</v>
      </c>
      <c r="D221" s="487"/>
      <c r="E221" s="487"/>
      <c r="F221" s="487"/>
      <c r="G221" s="487"/>
      <c r="H221" s="487"/>
      <c r="I221" s="501"/>
      <c r="J221" s="775">
        <f>(J220/J218)*100</f>
        <v>44.339622641509436</v>
      </c>
      <c r="K221" s="506"/>
      <c r="L221" s="506"/>
      <c r="M221" s="506"/>
      <c r="N221" s="503"/>
      <c r="O221" s="503"/>
      <c r="P221" s="503"/>
      <c r="Q221" s="503"/>
      <c r="R221" s="503"/>
      <c r="S221" s="496"/>
      <c r="T221" s="771">
        <f>T220/T218*100</f>
        <v>29.415073115860519</v>
      </c>
      <c r="U221" s="488"/>
      <c r="V221" s="491"/>
      <c r="W221" s="491"/>
    </row>
    <row r="222" spans="1:23">
      <c r="A222" s="1230"/>
      <c r="B222" s="1242" t="s">
        <v>398</v>
      </c>
      <c r="C222" s="123" t="s">
        <v>344</v>
      </c>
      <c r="D222" s="508"/>
      <c r="E222" s="492"/>
      <c r="F222" s="492"/>
      <c r="G222" s="492"/>
      <c r="H222" s="492"/>
      <c r="I222" s="509"/>
      <c r="J222" s="494">
        <v>8605</v>
      </c>
      <c r="K222" s="505"/>
      <c r="L222" s="505"/>
      <c r="M222" s="505"/>
      <c r="N222" s="492"/>
      <c r="O222" s="492"/>
      <c r="P222" s="492"/>
      <c r="Q222" s="492"/>
      <c r="R222" s="492"/>
      <c r="S222" s="493"/>
      <c r="T222" s="494">
        <v>4191</v>
      </c>
      <c r="U222" s="510"/>
      <c r="V222" s="511"/>
      <c r="W222" s="511"/>
    </row>
    <row r="223" spans="1:23">
      <c r="A223" s="1230"/>
      <c r="B223" s="1231"/>
      <c r="C223" s="798" t="s">
        <v>345</v>
      </c>
      <c r="D223" s="482"/>
      <c r="E223" s="482"/>
      <c r="F223" s="482"/>
      <c r="G223" s="482"/>
      <c r="H223" s="482"/>
      <c r="I223" s="499"/>
      <c r="J223" s="485">
        <v>5340</v>
      </c>
      <c r="K223" s="500"/>
      <c r="L223" s="500"/>
      <c r="M223" s="500"/>
      <c r="N223" s="482"/>
      <c r="O223" s="482"/>
      <c r="P223" s="482"/>
      <c r="Q223" s="482"/>
      <c r="R223" s="482"/>
      <c r="S223" s="483"/>
      <c r="T223" s="485">
        <v>3147</v>
      </c>
      <c r="U223" s="483"/>
      <c r="V223" s="486"/>
      <c r="W223" s="486"/>
    </row>
    <row r="224" spans="1:23" ht="15" thickBot="1">
      <c r="A224" s="1230"/>
      <c r="B224" s="1231"/>
      <c r="C224" s="799" t="s">
        <v>346</v>
      </c>
      <c r="D224" s="482"/>
      <c r="E224" s="482"/>
      <c r="F224" s="482"/>
      <c r="G224" s="482"/>
      <c r="H224" s="482"/>
      <c r="I224" s="499"/>
      <c r="J224" s="485">
        <v>3265</v>
      </c>
      <c r="K224" s="500"/>
      <c r="L224" s="500"/>
      <c r="M224" s="500"/>
      <c r="N224" s="482"/>
      <c r="O224" s="482"/>
      <c r="P224" s="482"/>
      <c r="Q224" s="482"/>
      <c r="R224" s="482"/>
      <c r="S224" s="483"/>
      <c r="T224" s="485">
        <v>1041</v>
      </c>
      <c r="U224" s="483"/>
      <c r="V224" s="486"/>
      <c r="W224" s="486"/>
    </row>
    <row r="225" spans="1:23" ht="15" thickBot="1">
      <c r="A225" s="1230"/>
      <c r="B225" s="1232"/>
      <c r="C225" s="143" t="s">
        <v>289</v>
      </c>
      <c r="D225" s="487"/>
      <c r="E225" s="487"/>
      <c r="F225" s="487"/>
      <c r="G225" s="487"/>
      <c r="H225" s="487"/>
      <c r="I225" s="501"/>
      <c r="J225" s="771">
        <f>(J224/J222)*100</f>
        <v>37.943056362579895</v>
      </c>
      <c r="K225" s="506"/>
      <c r="L225" s="506"/>
      <c r="M225" s="506"/>
      <c r="N225" s="503"/>
      <c r="O225" s="503"/>
      <c r="P225" s="503"/>
      <c r="Q225" s="503"/>
      <c r="R225" s="503"/>
      <c r="S225" s="496"/>
      <c r="T225" s="771">
        <f>T224/T222*100</f>
        <v>24.838940586972083</v>
      </c>
      <c r="U225" s="488"/>
      <c r="V225" s="491"/>
      <c r="W225" s="491"/>
    </row>
    <row r="226" spans="1:23">
      <c r="A226" s="1230"/>
      <c r="B226" s="1242" t="s">
        <v>399</v>
      </c>
      <c r="C226" s="123" t="s">
        <v>344</v>
      </c>
      <c r="D226" s="508"/>
      <c r="E226" s="492"/>
      <c r="F226" s="492"/>
      <c r="G226" s="492"/>
      <c r="H226" s="492"/>
      <c r="I226" s="509"/>
      <c r="J226" s="494">
        <v>1810</v>
      </c>
      <c r="K226" s="505"/>
      <c r="L226" s="505"/>
      <c r="M226" s="505"/>
      <c r="N226" s="492"/>
      <c r="O226" s="492"/>
      <c r="P226" s="492"/>
      <c r="Q226" s="492"/>
      <c r="R226" s="492"/>
      <c r="S226" s="493"/>
      <c r="T226" s="494">
        <v>2460</v>
      </c>
      <c r="U226" s="510"/>
      <c r="V226" s="511"/>
      <c r="W226" s="511"/>
    </row>
    <row r="227" spans="1:23">
      <c r="A227" s="1230"/>
      <c r="B227" s="1231"/>
      <c r="C227" s="798" t="s">
        <v>345</v>
      </c>
      <c r="D227" s="482"/>
      <c r="E227" s="482"/>
      <c r="F227" s="482"/>
      <c r="G227" s="482"/>
      <c r="H227" s="482"/>
      <c r="I227" s="499"/>
      <c r="J227" s="485">
        <v>1565</v>
      </c>
      <c r="K227" s="500"/>
      <c r="L227" s="500"/>
      <c r="M227" s="500"/>
      <c r="N227" s="482"/>
      <c r="O227" s="482"/>
      <c r="P227" s="482"/>
      <c r="Q227" s="482"/>
      <c r="R227" s="482"/>
      <c r="S227" s="483"/>
      <c r="T227" s="485">
        <v>2061</v>
      </c>
      <c r="U227" s="483"/>
      <c r="V227" s="486"/>
      <c r="W227" s="486"/>
    </row>
    <row r="228" spans="1:23" ht="15" thickBot="1">
      <c r="A228" s="1230"/>
      <c r="B228" s="1231"/>
      <c r="C228" s="799" t="s">
        <v>346</v>
      </c>
      <c r="D228" s="482"/>
      <c r="E228" s="482"/>
      <c r="F228" s="482"/>
      <c r="G228" s="482"/>
      <c r="H228" s="482"/>
      <c r="I228" s="499"/>
      <c r="J228" s="485">
        <v>245</v>
      </c>
      <c r="K228" s="500"/>
      <c r="L228" s="500"/>
      <c r="M228" s="500"/>
      <c r="N228" s="482"/>
      <c r="O228" s="482"/>
      <c r="P228" s="482"/>
      <c r="Q228" s="482"/>
      <c r="R228" s="482"/>
      <c r="S228" s="483"/>
      <c r="T228" s="485">
        <v>402</v>
      </c>
      <c r="U228" s="483"/>
      <c r="V228" s="486"/>
      <c r="W228" s="486"/>
    </row>
    <row r="229" spans="1:23" ht="15" thickBot="1">
      <c r="A229" s="1230"/>
      <c r="B229" s="1232"/>
      <c r="C229" s="143" t="s">
        <v>289</v>
      </c>
      <c r="D229" s="487"/>
      <c r="E229" s="487"/>
      <c r="F229" s="487"/>
      <c r="G229" s="487"/>
      <c r="H229" s="487"/>
      <c r="I229" s="501"/>
      <c r="J229" s="771">
        <f>(J228/J226)*100</f>
        <v>13.535911602209943</v>
      </c>
      <c r="K229" s="506"/>
      <c r="L229" s="506"/>
      <c r="M229" s="506"/>
      <c r="N229" s="503"/>
      <c r="O229" s="503"/>
      <c r="P229" s="503"/>
      <c r="Q229" s="503"/>
      <c r="R229" s="503"/>
      <c r="S229" s="496"/>
      <c r="T229" s="771">
        <f>T228/T226*100</f>
        <v>16.341463414634148</v>
      </c>
      <c r="U229" s="488"/>
      <c r="V229" s="491"/>
      <c r="W229" s="491"/>
    </row>
    <row r="230" spans="1:23" ht="14.5" customHeight="1">
      <c r="A230" s="1230"/>
      <c r="B230" s="1242" t="s">
        <v>400</v>
      </c>
      <c r="C230" s="123" t="s">
        <v>344</v>
      </c>
      <c r="D230" s="508"/>
      <c r="E230" s="492"/>
      <c r="F230" s="492"/>
      <c r="G230" s="492"/>
      <c r="H230" s="492"/>
      <c r="I230" s="509"/>
      <c r="J230" s="494">
        <v>4275</v>
      </c>
      <c r="K230" s="505"/>
      <c r="L230" s="505"/>
      <c r="M230" s="505"/>
      <c r="N230" s="492"/>
      <c r="O230" s="492"/>
      <c r="P230" s="492"/>
      <c r="Q230" s="492"/>
      <c r="R230" s="492"/>
      <c r="S230" s="493"/>
      <c r="T230" s="494">
        <v>3027</v>
      </c>
      <c r="U230" s="510"/>
      <c r="V230" s="511"/>
      <c r="W230" s="511"/>
    </row>
    <row r="231" spans="1:23" ht="14.5" customHeight="1">
      <c r="A231" s="1230"/>
      <c r="B231" s="1231"/>
      <c r="C231" s="798" t="s">
        <v>345</v>
      </c>
      <c r="D231" s="482"/>
      <c r="E231" s="482"/>
      <c r="F231" s="482"/>
      <c r="G231" s="482"/>
      <c r="H231" s="482"/>
      <c r="I231" s="499"/>
      <c r="J231" s="485">
        <v>3650</v>
      </c>
      <c r="K231" s="500"/>
      <c r="L231" s="500"/>
      <c r="M231" s="500"/>
      <c r="N231" s="482"/>
      <c r="O231" s="482"/>
      <c r="P231" s="482"/>
      <c r="Q231" s="482"/>
      <c r="R231" s="482"/>
      <c r="S231" s="483"/>
      <c r="T231" s="485">
        <v>2796</v>
      </c>
      <c r="U231" s="483"/>
      <c r="V231" s="486"/>
      <c r="W231" s="486"/>
    </row>
    <row r="232" spans="1:23" ht="15" thickBot="1">
      <c r="A232" s="1230"/>
      <c r="B232" s="1231"/>
      <c r="C232" s="799" t="s">
        <v>346</v>
      </c>
      <c r="D232" s="482"/>
      <c r="E232" s="482"/>
      <c r="F232" s="482"/>
      <c r="G232" s="482"/>
      <c r="H232" s="482"/>
      <c r="I232" s="499"/>
      <c r="J232" s="485">
        <v>625</v>
      </c>
      <c r="K232" s="500"/>
      <c r="L232" s="500"/>
      <c r="M232" s="500"/>
      <c r="N232" s="482"/>
      <c r="O232" s="482"/>
      <c r="P232" s="482"/>
      <c r="Q232" s="482"/>
      <c r="R232" s="482"/>
      <c r="S232" s="483"/>
      <c r="T232" s="485">
        <v>228</v>
      </c>
      <c r="U232" s="483"/>
      <c r="V232" s="486"/>
      <c r="W232" s="486"/>
    </row>
    <row r="233" spans="1:23" ht="15" thickBot="1">
      <c r="A233" s="1230"/>
      <c r="B233" s="1232"/>
      <c r="C233" s="143" t="s">
        <v>289</v>
      </c>
      <c r="D233" s="487"/>
      <c r="E233" s="487"/>
      <c r="F233" s="487"/>
      <c r="G233" s="487"/>
      <c r="H233" s="487"/>
      <c r="I233" s="501"/>
      <c r="J233" s="771">
        <f>(J232/J230)*100</f>
        <v>14.619883040935672</v>
      </c>
      <c r="K233" s="506"/>
      <c r="L233" s="506"/>
      <c r="M233" s="506"/>
      <c r="N233" s="503"/>
      <c r="O233" s="503"/>
      <c r="P233" s="503"/>
      <c r="Q233" s="503"/>
      <c r="R233" s="503"/>
      <c r="S233" s="496"/>
      <c r="T233" s="771">
        <f>T232/T230*100</f>
        <v>7.5322101090188305</v>
      </c>
      <c r="U233" s="488"/>
      <c r="V233" s="491"/>
      <c r="W233" s="491"/>
    </row>
    <row r="234" spans="1:23">
      <c r="A234" s="1230"/>
      <c r="B234" s="1242" t="s">
        <v>401</v>
      </c>
      <c r="C234" s="123" t="s">
        <v>344</v>
      </c>
      <c r="D234" s="508"/>
      <c r="E234" s="492"/>
      <c r="F234" s="492"/>
      <c r="G234" s="492"/>
      <c r="H234" s="492"/>
      <c r="I234" s="509"/>
      <c r="J234" s="494">
        <v>36630</v>
      </c>
      <c r="K234" s="505"/>
      <c r="L234" s="505"/>
      <c r="M234" s="505"/>
      <c r="N234" s="492"/>
      <c r="O234" s="492"/>
      <c r="P234" s="492"/>
      <c r="Q234" s="492"/>
      <c r="R234" s="492"/>
      <c r="S234" s="493"/>
      <c r="T234" s="494">
        <v>36939</v>
      </c>
      <c r="U234" s="510"/>
      <c r="V234" s="511"/>
      <c r="W234" s="511"/>
    </row>
    <row r="235" spans="1:23">
      <c r="A235" s="1230"/>
      <c r="B235" s="1231"/>
      <c r="C235" s="798" t="s">
        <v>345</v>
      </c>
      <c r="D235" s="482"/>
      <c r="E235" s="482"/>
      <c r="F235" s="482"/>
      <c r="G235" s="482"/>
      <c r="H235" s="482"/>
      <c r="I235" s="499"/>
      <c r="J235" s="485">
        <v>32380</v>
      </c>
      <c r="K235" s="500"/>
      <c r="L235" s="500"/>
      <c r="M235" s="500"/>
      <c r="N235" s="482"/>
      <c r="O235" s="482"/>
      <c r="P235" s="482"/>
      <c r="Q235" s="482"/>
      <c r="R235" s="482"/>
      <c r="S235" s="483"/>
      <c r="T235" s="485">
        <v>34185</v>
      </c>
      <c r="U235" s="483"/>
      <c r="V235" s="486"/>
      <c r="W235" s="486"/>
    </row>
    <row r="236" spans="1:23" ht="15" thickBot="1">
      <c r="A236" s="1230"/>
      <c r="B236" s="1231"/>
      <c r="C236" s="799" t="s">
        <v>346</v>
      </c>
      <c r="D236" s="482"/>
      <c r="E236" s="482"/>
      <c r="F236" s="482"/>
      <c r="G236" s="482"/>
      <c r="H236" s="482"/>
      <c r="I236" s="499"/>
      <c r="J236" s="485">
        <v>4250</v>
      </c>
      <c r="K236" s="500"/>
      <c r="L236" s="500"/>
      <c r="M236" s="500"/>
      <c r="N236" s="482"/>
      <c r="O236" s="482"/>
      <c r="P236" s="482"/>
      <c r="Q236" s="482"/>
      <c r="R236" s="482"/>
      <c r="S236" s="483"/>
      <c r="T236" s="485">
        <v>2754</v>
      </c>
      <c r="U236" s="483"/>
      <c r="V236" s="486"/>
      <c r="W236" s="486"/>
    </row>
    <row r="237" spans="1:23" ht="15" thickBot="1">
      <c r="A237" s="1230"/>
      <c r="B237" s="1232"/>
      <c r="C237" s="143" t="s">
        <v>289</v>
      </c>
      <c r="D237" s="487"/>
      <c r="E237" s="487"/>
      <c r="F237" s="487"/>
      <c r="G237" s="487"/>
      <c r="H237" s="487"/>
      <c r="I237" s="501"/>
      <c r="J237" s="771">
        <f>(J236/J234)*100</f>
        <v>11.602511602511603</v>
      </c>
      <c r="K237" s="506"/>
      <c r="L237" s="506"/>
      <c r="M237" s="506"/>
      <c r="N237" s="503"/>
      <c r="O237" s="503"/>
      <c r="P237" s="503"/>
      <c r="Q237" s="503"/>
      <c r="R237" s="503"/>
      <c r="S237" s="496"/>
      <c r="T237" s="771">
        <f>T236/T234*100</f>
        <v>7.4555348006172331</v>
      </c>
      <c r="U237" s="488"/>
      <c r="V237" s="491"/>
      <c r="W237" s="491"/>
    </row>
    <row r="238" spans="1:23">
      <c r="A238" s="1230"/>
      <c r="B238" s="1242" t="s">
        <v>402</v>
      </c>
      <c r="C238" s="123" t="s">
        <v>344</v>
      </c>
      <c r="D238" s="508"/>
      <c r="E238" s="492"/>
      <c r="F238" s="492"/>
      <c r="G238" s="492"/>
      <c r="H238" s="492"/>
      <c r="I238" s="509"/>
      <c r="J238" s="494">
        <v>41345</v>
      </c>
      <c r="K238" s="505"/>
      <c r="L238" s="505"/>
      <c r="M238" s="505"/>
      <c r="N238" s="492"/>
      <c r="O238" s="492"/>
      <c r="P238" s="492"/>
      <c r="Q238" s="492"/>
      <c r="R238" s="492"/>
      <c r="S238" s="493"/>
      <c r="T238" s="494">
        <v>56658</v>
      </c>
      <c r="U238" s="510"/>
      <c r="V238" s="511"/>
      <c r="W238" s="511"/>
    </row>
    <row r="239" spans="1:23">
      <c r="A239" s="1230"/>
      <c r="B239" s="1231"/>
      <c r="C239" s="798" t="s">
        <v>345</v>
      </c>
      <c r="D239" s="482"/>
      <c r="E239" s="482"/>
      <c r="F239" s="482"/>
      <c r="G239" s="482"/>
      <c r="H239" s="482"/>
      <c r="I239" s="499"/>
      <c r="J239" s="485">
        <v>1460</v>
      </c>
      <c r="K239" s="500"/>
      <c r="L239" s="500"/>
      <c r="M239" s="500"/>
      <c r="N239" s="482"/>
      <c r="O239" s="482"/>
      <c r="P239" s="482"/>
      <c r="Q239" s="482"/>
      <c r="R239" s="482"/>
      <c r="S239" s="483"/>
      <c r="T239" s="485">
        <v>2439</v>
      </c>
      <c r="U239" s="483"/>
      <c r="V239" s="486"/>
      <c r="W239" s="486"/>
    </row>
    <row r="240" spans="1:23" ht="15" thickBot="1">
      <c r="A240" s="1230"/>
      <c r="B240" s="1231"/>
      <c r="C240" s="799" t="s">
        <v>346</v>
      </c>
      <c r="D240" s="482"/>
      <c r="E240" s="482"/>
      <c r="F240" s="482"/>
      <c r="G240" s="482"/>
      <c r="H240" s="482"/>
      <c r="I240" s="499"/>
      <c r="J240" s="485">
        <v>39885</v>
      </c>
      <c r="K240" s="500"/>
      <c r="L240" s="500"/>
      <c r="M240" s="500"/>
      <c r="N240" s="482"/>
      <c r="O240" s="482"/>
      <c r="P240" s="482"/>
      <c r="Q240" s="482"/>
      <c r="R240" s="482"/>
      <c r="S240" s="483"/>
      <c r="T240" s="485">
        <v>54219</v>
      </c>
      <c r="U240" s="483"/>
      <c r="V240" s="486"/>
      <c r="W240" s="486"/>
    </row>
    <row r="241" spans="1:23" ht="15" thickBot="1">
      <c r="A241" s="1230"/>
      <c r="B241" s="1232"/>
      <c r="C241" s="143" t="s">
        <v>289</v>
      </c>
      <c r="D241" s="487"/>
      <c r="E241" s="487"/>
      <c r="F241" s="487"/>
      <c r="G241" s="487"/>
      <c r="H241" s="487"/>
      <c r="I241" s="501"/>
      <c r="J241" s="770">
        <f>(J240/J238)*100</f>
        <v>96.468738662474308</v>
      </c>
      <c r="K241" s="506"/>
      <c r="L241" s="506"/>
      <c r="M241" s="506"/>
      <c r="N241" s="503"/>
      <c r="O241" s="503"/>
      <c r="P241" s="503"/>
      <c r="Q241" s="503"/>
      <c r="R241" s="503"/>
      <c r="S241" s="496"/>
      <c r="T241" s="770">
        <f>T240/T238*100</f>
        <v>95.695223975431531</v>
      </c>
      <c r="U241" s="488"/>
      <c r="V241" s="491"/>
      <c r="W241" s="491"/>
    </row>
    <row r="242" spans="1:23">
      <c r="A242" s="1230"/>
      <c r="B242" s="1242" t="s">
        <v>403</v>
      </c>
      <c r="C242" s="123" t="s">
        <v>344</v>
      </c>
      <c r="D242" s="508"/>
      <c r="E242" s="492"/>
      <c r="F242" s="492"/>
      <c r="G242" s="492"/>
      <c r="H242" s="492"/>
      <c r="I242" s="509"/>
      <c r="J242" s="494">
        <v>44545</v>
      </c>
      <c r="K242" s="505"/>
      <c r="L242" s="505"/>
      <c r="M242" s="505"/>
      <c r="N242" s="492"/>
      <c r="O242" s="492"/>
      <c r="P242" s="492"/>
      <c r="Q242" s="492"/>
      <c r="R242" s="492"/>
      <c r="S242" s="493"/>
      <c r="T242" s="494">
        <v>52836</v>
      </c>
      <c r="U242" s="510"/>
      <c r="V242" s="511"/>
      <c r="W242" s="511"/>
    </row>
    <row r="243" spans="1:23">
      <c r="A243" s="1230"/>
      <c r="B243" s="1231"/>
      <c r="C243" s="798" t="s">
        <v>345</v>
      </c>
      <c r="D243" s="482"/>
      <c r="E243" s="482"/>
      <c r="F243" s="482"/>
      <c r="G243" s="482"/>
      <c r="H243" s="482"/>
      <c r="I243" s="499"/>
      <c r="J243" s="485">
        <v>8750</v>
      </c>
      <c r="K243" s="500"/>
      <c r="L243" s="500"/>
      <c r="M243" s="500"/>
      <c r="N243" s="482"/>
      <c r="O243" s="482"/>
      <c r="P243" s="482"/>
      <c r="Q243" s="482"/>
      <c r="R243" s="482"/>
      <c r="S243" s="483"/>
      <c r="T243" s="485">
        <v>12168</v>
      </c>
      <c r="U243" s="483"/>
      <c r="V243" s="486"/>
      <c r="W243" s="486"/>
    </row>
    <row r="244" spans="1:23" ht="15" thickBot="1">
      <c r="A244" s="1230"/>
      <c r="B244" s="1231"/>
      <c r="C244" s="799" t="s">
        <v>346</v>
      </c>
      <c r="D244" s="482"/>
      <c r="E244" s="482"/>
      <c r="F244" s="482"/>
      <c r="G244" s="482"/>
      <c r="H244" s="482"/>
      <c r="I244" s="499"/>
      <c r="J244" s="485">
        <v>35795</v>
      </c>
      <c r="K244" s="500"/>
      <c r="L244" s="500"/>
      <c r="M244" s="500"/>
      <c r="N244" s="482"/>
      <c r="O244" s="482"/>
      <c r="P244" s="482"/>
      <c r="Q244" s="482"/>
      <c r="R244" s="482"/>
      <c r="S244" s="483"/>
      <c r="T244" s="485">
        <v>40668</v>
      </c>
      <c r="U244" s="483"/>
      <c r="V244" s="486"/>
      <c r="W244" s="486"/>
    </row>
    <row r="245" spans="1:23" ht="15" thickBot="1">
      <c r="A245" s="1230"/>
      <c r="B245" s="1232"/>
      <c r="C245" s="143" t="s">
        <v>289</v>
      </c>
      <c r="D245" s="487"/>
      <c r="E245" s="487"/>
      <c r="F245" s="487"/>
      <c r="G245" s="487"/>
      <c r="H245" s="487"/>
      <c r="I245" s="501"/>
      <c r="J245" s="770">
        <f>(J244/J242)*100</f>
        <v>80.356942417779777</v>
      </c>
      <c r="K245" s="506"/>
      <c r="L245" s="506"/>
      <c r="M245" s="506"/>
      <c r="N245" s="503"/>
      <c r="O245" s="503"/>
      <c r="P245" s="503"/>
      <c r="Q245" s="503"/>
      <c r="R245" s="503"/>
      <c r="S245" s="496"/>
      <c r="T245" s="770">
        <f>T244/T242*100</f>
        <v>76.970247558482853</v>
      </c>
      <c r="U245" s="488"/>
      <c r="V245" s="491"/>
      <c r="W245" s="491"/>
    </row>
    <row r="246" spans="1:23">
      <c r="A246" s="1230"/>
      <c r="B246" s="1242" t="s">
        <v>404</v>
      </c>
      <c r="C246" s="123" t="s">
        <v>344</v>
      </c>
      <c r="D246" s="508"/>
      <c r="E246" s="492"/>
      <c r="F246" s="492"/>
      <c r="G246" s="492"/>
      <c r="H246" s="492"/>
      <c r="I246" s="509"/>
      <c r="J246" s="494">
        <v>10840</v>
      </c>
      <c r="K246" s="505"/>
      <c r="L246" s="505"/>
      <c r="M246" s="505"/>
      <c r="N246" s="492"/>
      <c r="O246" s="492"/>
      <c r="P246" s="492"/>
      <c r="Q246" s="492"/>
      <c r="R246" s="492"/>
      <c r="S246" s="493"/>
      <c r="T246" s="494">
        <v>7050</v>
      </c>
      <c r="U246" s="510"/>
      <c r="V246" s="511"/>
      <c r="W246" s="511"/>
    </row>
    <row r="247" spans="1:23" ht="14.5" customHeight="1">
      <c r="A247" s="1230"/>
      <c r="B247" s="1231"/>
      <c r="C247" s="798" t="s">
        <v>345</v>
      </c>
      <c r="D247" s="482"/>
      <c r="E247" s="482"/>
      <c r="F247" s="482"/>
      <c r="G247" s="482"/>
      <c r="H247" s="482"/>
      <c r="I247" s="499"/>
      <c r="J247" s="485">
        <v>3810</v>
      </c>
      <c r="K247" s="500"/>
      <c r="L247" s="500"/>
      <c r="M247" s="500"/>
      <c r="N247" s="482"/>
      <c r="O247" s="482"/>
      <c r="P247" s="482"/>
      <c r="Q247" s="482"/>
      <c r="R247" s="482"/>
      <c r="S247" s="483"/>
      <c r="T247" s="485">
        <v>3792</v>
      </c>
      <c r="U247" s="483"/>
      <c r="V247" s="486"/>
      <c r="W247" s="486"/>
    </row>
    <row r="248" spans="1:23" ht="15" thickBot="1">
      <c r="A248" s="1230"/>
      <c r="B248" s="1231"/>
      <c r="C248" s="799" t="s">
        <v>346</v>
      </c>
      <c r="D248" s="482"/>
      <c r="E248" s="482"/>
      <c r="F248" s="482"/>
      <c r="G248" s="482"/>
      <c r="H248" s="482"/>
      <c r="I248" s="499"/>
      <c r="J248" s="485">
        <v>7030</v>
      </c>
      <c r="K248" s="500"/>
      <c r="L248" s="500"/>
      <c r="M248" s="500"/>
      <c r="N248" s="482"/>
      <c r="O248" s="482"/>
      <c r="P248" s="482"/>
      <c r="Q248" s="482"/>
      <c r="R248" s="482"/>
      <c r="S248" s="483"/>
      <c r="T248" s="485">
        <v>3258</v>
      </c>
      <c r="U248" s="483"/>
      <c r="V248" s="486"/>
      <c r="W248" s="486"/>
    </row>
    <row r="249" spans="1:23" ht="15" thickBot="1">
      <c r="A249" s="1230"/>
      <c r="B249" s="1232"/>
      <c r="C249" s="143" t="s">
        <v>289</v>
      </c>
      <c r="D249" s="487"/>
      <c r="E249" s="487"/>
      <c r="F249" s="487"/>
      <c r="G249" s="487"/>
      <c r="H249" s="487"/>
      <c r="I249" s="501"/>
      <c r="J249" s="770">
        <f>(J248/J246)*100</f>
        <v>64.852398523985244</v>
      </c>
      <c r="K249" s="506"/>
      <c r="L249" s="506"/>
      <c r="M249" s="506"/>
      <c r="N249" s="503"/>
      <c r="O249" s="503"/>
      <c r="P249" s="503"/>
      <c r="Q249" s="503"/>
      <c r="R249" s="503"/>
      <c r="S249" s="496"/>
      <c r="T249" s="775">
        <f>T248/T246*100</f>
        <v>46.212765957446813</v>
      </c>
      <c r="U249" s="488"/>
      <c r="V249" s="491"/>
      <c r="W249" s="491"/>
    </row>
    <row r="250" spans="1:23" ht="14.5" customHeight="1">
      <c r="A250" s="1230"/>
      <c r="B250" s="1242" t="s">
        <v>405</v>
      </c>
      <c r="C250" s="123" t="s">
        <v>344</v>
      </c>
      <c r="D250" s="508"/>
      <c r="E250" s="492"/>
      <c r="F250" s="492"/>
      <c r="G250" s="492"/>
      <c r="H250" s="492"/>
      <c r="I250" s="509"/>
      <c r="J250" s="494">
        <v>10450</v>
      </c>
      <c r="K250" s="505"/>
      <c r="L250" s="505"/>
      <c r="M250" s="505"/>
      <c r="N250" s="492"/>
      <c r="O250" s="492"/>
      <c r="P250" s="492"/>
      <c r="Q250" s="492"/>
      <c r="R250" s="492"/>
      <c r="S250" s="493"/>
      <c r="T250" s="494">
        <v>13422</v>
      </c>
      <c r="U250" s="510"/>
      <c r="V250" s="511"/>
      <c r="W250" s="511"/>
    </row>
    <row r="251" spans="1:23" ht="14.5" customHeight="1">
      <c r="A251" s="1230"/>
      <c r="B251" s="1231"/>
      <c r="C251" s="798" t="s">
        <v>345</v>
      </c>
      <c r="D251" s="482"/>
      <c r="E251" s="482"/>
      <c r="F251" s="482"/>
      <c r="G251" s="482"/>
      <c r="H251" s="482"/>
      <c r="I251" s="499"/>
      <c r="J251" s="485">
        <v>7285</v>
      </c>
      <c r="K251" s="500"/>
      <c r="L251" s="500"/>
      <c r="M251" s="500"/>
      <c r="N251" s="482"/>
      <c r="O251" s="482"/>
      <c r="P251" s="482"/>
      <c r="Q251" s="482"/>
      <c r="R251" s="482"/>
      <c r="S251" s="483"/>
      <c r="T251" s="485">
        <v>9735</v>
      </c>
      <c r="U251" s="483"/>
      <c r="V251" s="486"/>
      <c r="W251" s="486"/>
    </row>
    <row r="252" spans="1:23" ht="15" thickBot="1">
      <c r="A252" s="1230"/>
      <c r="B252" s="1231"/>
      <c r="C252" s="799" t="s">
        <v>346</v>
      </c>
      <c r="D252" s="482"/>
      <c r="E252" s="482"/>
      <c r="F252" s="482"/>
      <c r="G252" s="482"/>
      <c r="H252" s="482"/>
      <c r="I252" s="499"/>
      <c r="J252" s="485">
        <v>3165</v>
      </c>
      <c r="K252" s="500"/>
      <c r="L252" s="500"/>
      <c r="M252" s="500"/>
      <c r="N252" s="482"/>
      <c r="O252" s="482"/>
      <c r="P252" s="482"/>
      <c r="Q252" s="482"/>
      <c r="R252" s="482"/>
      <c r="S252" s="483"/>
      <c r="T252" s="485">
        <v>3687</v>
      </c>
      <c r="U252" s="483"/>
      <c r="V252" s="486"/>
      <c r="W252" s="486"/>
    </row>
    <row r="253" spans="1:23" ht="15" thickBot="1">
      <c r="A253" s="1230"/>
      <c r="B253" s="1232"/>
      <c r="C253" s="143" t="s">
        <v>289</v>
      </c>
      <c r="D253" s="487"/>
      <c r="E253" s="487"/>
      <c r="F253" s="487"/>
      <c r="G253" s="487"/>
      <c r="H253" s="487"/>
      <c r="I253" s="501"/>
      <c r="J253" s="771">
        <f>(J252/J250)*100</f>
        <v>30.28708133971292</v>
      </c>
      <c r="K253" s="506"/>
      <c r="L253" s="506"/>
      <c r="M253" s="506"/>
      <c r="N253" s="503"/>
      <c r="O253" s="503"/>
      <c r="P253" s="503"/>
      <c r="Q253" s="503"/>
      <c r="R253" s="503"/>
      <c r="S253" s="496"/>
      <c r="T253" s="771">
        <f>T252/T250*100</f>
        <v>27.46982565936522</v>
      </c>
      <c r="U253" s="488"/>
      <c r="V253" s="491"/>
      <c r="W253" s="491"/>
    </row>
    <row r="254" spans="1:23">
      <c r="A254" s="1230"/>
      <c r="B254" s="1242" t="s">
        <v>406</v>
      </c>
      <c r="C254" s="123" t="s">
        <v>344</v>
      </c>
      <c r="D254" s="508"/>
      <c r="E254" s="492"/>
      <c r="F254" s="492"/>
      <c r="G254" s="492"/>
      <c r="H254" s="492"/>
      <c r="I254" s="509"/>
      <c r="J254" s="494">
        <v>1945</v>
      </c>
      <c r="K254" s="505"/>
      <c r="L254" s="505"/>
      <c r="M254" s="505"/>
      <c r="N254" s="492"/>
      <c r="O254" s="492"/>
      <c r="P254" s="492"/>
      <c r="Q254" s="492"/>
      <c r="R254" s="492"/>
      <c r="S254" s="493"/>
      <c r="T254" s="494">
        <v>2184</v>
      </c>
      <c r="U254" s="510"/>
      <c r="V254" s="511"/>
      <c r="W254" s="511"/>
    </row>
    <row r="255" spans="1:23">
      <c r="A255" s="1230"/>
      <c r="B255" s="1231"/>
      <c r="C255" s="798" t="s">
        <v>345</v>
      </c>
      <c r="D255" s="482"/>
      <c r="E255" s="482"/>
      <c r="F255" s="482"/>
      <c r="G255" s="482"/>
      <c r="H255" s="482"/>
      <c r="I255" s="499"/>
      <c r="J255" s="485">
        <v>880</v>
      </c>
      <c r="K255" s="500"/>
      <c r="L255" s="500"/>
      <c r="M255" s="500"/>
      <c r="N255" s="482"/>
      <c r="O255" s="482"/>
      <c r="P255" s="482"/>
      <c r="Q255" s="482"/>
      <c r="R255" s="482"/>
      <c r="S255" s="483"/>
      <c r="T255" s="485">
        <v>1800</v>
      </c>
      <c r="U255" s="483"/>
      <c r="V255" s="486"/>
      <c r="W255" s="486"/>
    </row>
    <row r="256" spans="1:23" ht="15" thickBot="1">
      <c r="A256" s="1230"/>
      <c r="B256" s="1231"/>
      <c r="C256" s="799" t="s">
        <v>346</v>
      </c>
      <c r="D256" s="482"/>
      <c r="E256" s="482"/>
      <c r="F256" s="482"/>
      <c r="G256" s="482"/>
      <c r="H256" s="482"/>
      <c r="I256" s="499"/>
      <c r="J256" s="485">
        <v>1065</v>
      </c>
      <c r="K256" s="500"/>
      <c r="L256" s="500"/>
      <c r="M256" s="500"/>
      <c r="N256" s="482"/>
      <c r="O256" s="482"/>
      <c r="P256" s="482"/>
      <c r="Q256" s="482"/>
      <c r="R256" s="482"/>
      <c r="S256" s="483"/>
      <c r="T256" s="485">
        <v>384</v>
      </c>
      <c r="U256" s="483"/>
      <c r="V256" s="486"/>
      <c r="W256" s="486"/>
    </row>
    <row r="257" spans="1:25" ht="15" thickBot="1">
      <c r="A257" s="1230"/>
      <c r="B257" s="1232"/>
      <c r="C257" s="143" t="s">
        <v>289</v>
      </c>
      <c r="D257" s="487"/>
      <c r="E257" s="487"/>
      <c r="F257" s="487"/>
      <c r="G257" s="487"/>
      <c r="H257" s="487"/>
      <c r="I257" s="501"/>
      <c r="J257" s="775">
        <f>(J256/J254)*100</f>
        <v>54.755784061696659</v>
      </c>
      <c r="K257" s="506"/>
      <c r="L257" s="506"/>
      <c r="M257" s="506"/>
      <c r="N257" s="503"/>
      <c r="O257" s="503"/>
      <c r="P257" s="503"/>
      <c r="Q257" s="503"/>
      <c r="R257" s="503"/>
      <c r="S257" s="496"/>
      <c r="T257" s="771">
        <f>T256/T254*100</f>
        <v>17.582417582417584</v>
      </c>
      <c r="U257" s="488"/>
      <c r="V257" s="491"/>
      <c r="W257" s="491"/>
    </row>
    <row r="258" spans="1:25">
      <c r="A258" s="1230"/>
      <c r="B258" s="1242" t="s">
        <v>407</v>
      </c>
      <c r="C258" s="123" t="s">
        <v>344</v>
      </c>
      <c r="D258" s="508"/>
      <c r="E258" s="492"/>
      <c r="F258" s="492"/>
      <c r="G258" s="492"/>
      <c r="H258" s="492"/>
      <c r="I258" s="509"/>
      <c r="J258" s="494">
        <v>4030</v>
      </c>
      <c r="K258" s="505"/>
      <c r="L258" s="505"/>
      <c r="M258" s="505"/>
      <c r="N258" s="492"/>
      <c r="O258" s="492"/>
      <c r="P258" s="492"/>
      <c r="Q258" s="492"/>
      <c r="R258" s="492"/>
      <c r="S258" s="493"/>
      <c r="T258" s="494">
        <v>3054</v>
      </c>
      <c r="U258" s="510"/>
      <c r="V258" s="511"/>
      <c r="W258" s="511"/>
    </row>
    <row r="259" spans="1:25">
      <c r="A259" s="1230"/>
      <c r="B259" s="1231"/>
      <c r="C259" s="798" t="s">
        <v>345</v>
      </c>
      <c r="D259" s="482"/>
      <c r="E259" s="482"/>
      <c r="F259" s="482"/>
      <c r="G259" s="482"/>
      <c r="H259" s="482"/>
      <c r="I259" s="499"/>
      <c r="J259" s="485">
        <v>3285</v>
      </c>
      <c r="K259" s="500"/>
      <c r="L259" s="500"/>
      <c r="M259" s="500"/>
      <c r="N259" s="482"/>
      <c r="O259" s="482"/>
      <c r="P259" s="482"/>
      <c r="Q259" s="482"/>
      <c r="R259" s="482"/>
      <c r="S259" s="483"/>
      <c r="T259" s="485">
        <v>2946</v>
      </c>
      <c r="U259" s="483"/>
      <c r="V259" s="486"/>
      <c r="W259" s="486"/>
    </row>
    <row r="260" spans="1:25" ht="15" thickBot="1">
      <c r="A260" s="1230"/>
      <c r="B260" s="1231"/>
      <c r="C260" s="799" t="s">
        <v>346</v>
      </c>
      <c r="D260" s="482"/>
      <c r="E260" s="482"/>
      <c r="F260" s="482"/>
      <c r="G260" s="482"/>
      <c r="H260" s="482"/>
      <c r="I260" s="499"/>
      <c r="J260" s="485">
        <v>745</v>
      </c>
      <c r="K260" s="500"/>
      <c r="L260" s="500"/>
      <c r="M260" s="500"/>
      <c r="N260" s="482"/>
      <c r="O260" s="482"/>
      <c r="P260" s="482"/>
      <c r="Q260" s="482"/>
      <c r="R260" s="482"/>
      <c r="S260" s="483"/>
      <c r="T260" s="485">
        <v>105</v>
      </c>
      <c r="U260" s="483"/>
      <c r="V260" s="486"/>
      <c r="W260" s="486"/>
    </row>
    <row r="261" spans="1:25" ht="15" thickBot="1">
      <c r="A261" s="1230"/>
      <c r="B261" s="1232"/>
      <c r="C261" s="143" t="s">
        <v>289</v>
      </c>
      <c r="D261" s="487"/>
      <c r="E261" s="487"/>
      <c r="F261" s="487"/>
      <c r="G261" s="487"/>
      <c r="H261" s="487"/>
      <c r="I261" s="501"/>
      <c r="J261" s="771">
        <f>(J260/J258)*100</f>
        <v>18.486352357320097</v>
      </c>
      <c r="K261" s="506"/>
      <c r="L261" s="506"/>
      <c r="M261" s="506"/>
      <c r="N261" s="503"/>
      <c r="O261" s="503"/>
      <c r="P261" s="503"/>
      <c r="Q261" s="503"/>
      <c r="R261" s="503"/>
      <c r="S261" s="496"/>
      <c r="T261" s="771">
        <f>T260/T258*100</f>
        <v>3.4381139489194501</v>
      </c>
      <c r="U261" s="488"/>
      <c r="V261" s="491"/>
      <c r="W261" s="491"/>
    </row>
    <row r="262" spans="1:25">
      <c r="A262" s="1230"/>
      <c r="B262" s="1242" t="s">
        <v>408</v>
      </c>
      <c r="C262" s="123" t="s">
        <v>344</v>
      </c>
      <c r="D262" s="508"/>
      <c r="E262" s="492"/>
      <c r="F262" s="492"/>
      <c r="G262" s="492"/>
      <c r="H262" s="492"/>
      <c r="I262" s="509"/>
      <c r="J262" s="494">
        <v>3240</v>
      </c>
      <c r="K262" s="505"/>
      <c r="L262" s="505"/>
      <c r="M262" s="505"/>
      <c r="N262" s="492"/>
      <c r="O262" s="492"/>
      <c r="P262" s="492"/>
      <c r="Q262" s="492"/>
      <c r="R262" s="492"/>
      <c r="S262" s="493"/>
      <c r="T262" s="494">
        <v>7014</v>
      </c>
      <c r="U262" s="510"/>
      <c r="V262" s="511"/>
      <c r="W262" s="511"/>
    </row>
    <row r="263" spans="1:25">
      <c r="A263" s="1230"/>
      <c r="B263" s="1231"/>
      <c r="C263" s="798" t="s">
        <v>345</v>
      </c>
      <c r="D263" s="482"/>
      <c r="E263" s="482"/>
      <c r="F263" s="482"/>
      <c r="G263" s="482"/>
      <c r="H263" s="482"/>
      <c r="I263" s="499"/>
      <c r="J263" s="485">
        <v>2205</v>
      </c>
      <c r="K263" s="500"/>
      <c r="L263" s="500"/>
      <c r="M263" s="500"/>
      <c r="N263" s="482"/>
      <c r="O263" s="482"/>
      <c r="P263" s="482"/>
      <c r="Q263" s="482"/>
      <c r="R263" s="482"/>
      <c r="S263" s="483"/>
      <c r="T263" s="485">
        <v>4815</v>
      </c>
      <c r="U263" s="483"/>
      <c r="V263" s="486"/>
      <c r="W263" s="486"/>
    </row>
    <row r="264" spans="1:25" ht="15" thickBot="1">
      <c r="A264" s="1230"/>
      <c r="B264" s="1231"/>
      <c r="C264" s="799" t="s">
        <v>346</v>
      </c>
      <c r="D264" s="482"/>
      <c r="E264" s="482"/>
      <c r="F264" s="482"/>
      <c r="G264" s="482"/>
      <c r="H264" s="482"/>
      <c r="I264" s="499"/>
      <c r="J264" s="485">
        <v>1035</v>
      </c>
      <c r="K264" s="500"/>
      <c r="L264" s="500"/>
      <c r="M264" s="500"/>
      <c r="N264" s="482"/>
      <c r="O264" s="482"/>
      <c r="P264" s="482"/>
      <c r="Q264" s="482"/>
      <c r="R264" s="482"/>
      <c r="S264" s="483"/>
      <c r="T264" s="485">
        <v>2202</v>
      </c>
      <c r="U264" s="483"/>
      <c r="V264" s="486"/>
      <c r="W264" s="486"/>
    </row>
    <row r="265" spans="1:25" ht="15" thickBot="1">
      <c r="A265" s="1230"/>
      <c r="B265" s="1232"/>
      <c r="C265" s="143" t="s">
        <v>289</v>
      </c>
      <c r="D265" s="487"/>
      <c r="E265" s="487"/>
      <c r="F265" s="487"/>
      <c r="G265" s="487"/>
      <c r="H265" s="487"/>
      <c r="I265" s="501"/>
      <c r="J265" s="771">
        <f>(J264/J262)*100</f>
        <v>31.944444444444443</v>
      </c>
      <c r="K265" s="506"/>
      <c r="L265" s="506"/>
      <c r="M265" s="506"/>
      <c r="N265" s="503"/>
      <c r="O265" s="503"/>
      <c r="P265" s="503"/>
      <c r="Q265" s="503"/>
      <c r="R265" s="503"/>
      <c r="S265" s="496"/>
      <c r="T265" s="771">
        <f>T264/T262*100</f>
        <v>31.394354148845167</v>
      </c>
      <c r="U265" s="488"/>
      <c r="V265" s="491"/>
      <c r="W265" s="491"/>
    </row>
    <row r="266" spans="1:25">
      <c r="A266" s="1230"/>
      <c r="B266" s="1242" t="s">
        <v>409</v>
      </c>
      <c r="C266" s="123" t="s">
        <v>344</v>
      </c>
      <c r="D266" s="508"/>
      <c r="E266" s="492"/>
      <c r="F266" s="492"/>
      <c r="G266" s="492"/>
      <c r="H266" s="492"/>
      <c r="I266" s="509"/>
      <c r="J266" s="494">
        <v>10900</v>
      </c>
      <c r="K266" s="505"/>
      <c r="L266" s="505"/>
      <c r="M266" s="505"/>
      <c r="N266" s="492"/>
      <c r="O266" s="492"/>
      <c r="P266" s="492"/>
      <c r="Q266" s="492"/>
      <c r="R266" s="492"/>
      <c r="S266" s="493"/>
      <c r="T266" s="494">
        <v>17883</v>
      </c>
      <c r="U266" s="510"/>
      <c r="V266" s="511"/>
      <c r="W266" s="511"/>
    </row>
    <row r="267" spans="1:25">
      <c r="A267" s="1230"/>
      <c r="B267" s="1231"/>
      <c r="C267" s="798" t="s">
        <v>345</v>
      </c>
      <c r="D267" s="482"/>
      <c r="E267" s="482"/>
      <c r="F267" s="482"/>
      <c r="G267" s="482"/>
      <c r="H267" s="482"/>
      <c r="I267" s="499"/>
      <c r="J267" s="485">
        <v>8830</v>
      </c>
      <c r="K267" s="500"/>
      <c r="L267" s="500"/>
      <c r="M267" s="500"/>
      <c r="N267" s="482"/>
      <c r="O267" s="482"/>
      <c r="P267" s="482"/>
      <c r="Q267" s="482"/>
      <c r="R267" s="482"/>
      <c r="S267" s="483"/>
      <c r="T267" s="485">
        <v>14295</v>
      </c>
      <c r="U267" s="483"/>
      <c r="V267" s="486"/>
      <c r="W267" s="486"/>
    </row>
    <row r="268" spans="1:25" ht="14.5" customHeight="1" thickBot="1">
      <c r="A268" s="1230"/>
      <c r="B268" s="1231"/>
      <c r="C268" s="799" t="s">
        <v>346</v>
      </c>
      <c r="D268" s="482"/>
      <c r="E268" s="482"/>
      <c r="F268" s="482"/>
      <c r="G268" s="482"/>
      <c r="H268" s="482"/>
      <c r="I268" s="499"/>
      <c r="J268" s="485">
        <v>2070</v>
      </c>
      <c r="K268" s="500"/>
      <c r="L268" s="500"/>
      <c r="M268" s="500"/>
      <c r="N268" s="482"/>
      <c r="O268" s="482"/>
      <c r="P268" s="482"/>
      <c r="Q268" s="482"/>
      <c r="R268" s="482"/>
      <c r="S268" s="483"/>
      <c r="T268" s="485">
        <v>3588</v>
      </c>
      <c r="U268" s="483"/>
      <c r="V268" s="486"/>
      <c r="W268" s="486"/>
    </row>
    <row r="269" spans="1:25" ht="15" thickBot="1">
      <c r="A269" s="1230"/>
      <c r="B269" s="1232"/>
      <c r="C269" s="143" t="s">
        <v>289</v>
      </c>
      <c r="D269" s="487"/>
      <c r="E269" s="487"/>
      <c r="F269" s="487"/>
      <c r="G269" s="487"/>
      <c r="H269" s="487"/>
      <c r="I269" s="501"/>
      <c r="J269" s="771">
        <f>(J268/J266)*100</f>
        <v>18.990825688073397</v>
      </c>
      <c r="K269" s="506"/>
      <c r="L269" s="506"/>
      <c r="M269" s="506"/>
      <c r="N269" s="503"/>
      <c r="O269" s="503"/>
      <c r="P269" s="503"/>
      <c r="Q269" s="503"/>
      <c r="R269" s="503"/>
      <c r="S269" s="496"/>
      <c r="T269" s="772">
        <f>T268/T266*100</f>
        <v>20.063747693340044</v>
      </c>
      <c r="U269" s="488"/>
      <c r="V269" s="491"/>
      <c r="W269" s="491"/>
      <c r="Y269" s="42"/>
    </row>
    <row r="270" spans="1:25">
      <c r="A270" s="1230"/>
      <c r="B270" s="1225" t="s">
        <v>410</v>
      </c>
      <c r="C270" s="801" t="s">
        <v>411</v>
      </c>
      <c r="D270" s="510"/>
      <c r="E270" s="510"/>
      <c r="F270" s="510"/>
      <c r="G270" s="510"/>
      <c r="H270" s="510"/>
      <c r="I270" s="510"/>
      <c r="J270" s="781">
        <f>(33/62)*100</f>
        <v>53.225806451612897</v>
      </c>
      <c r="K270" s="573"/>
      <c r="L270" s="573"/>
      <c r="M270" s="573"/>
      <c r="N270" s="476"/>
      <c r="O270" s="476"/>
      <c r="P270" s="476"/>
      <c r="Q270" s="476"/>
      <c r="R270" s="476"/>
      <c r="S270" s="476"/>
      <c r="T270" s="782">
        <f>(32/61)*100</f>
        <v>52.459016393442624</v>
      </c>
      <c r="U270" s="510"/>
      <c r="V270" s="511"/>
      <c r="W270" s="511"/>
    </row>
    <row r="271" spans="1:25">
      <c r="A271" s="1230"/>
      <c r="B271" s="1226"/>
      <c r="C271" s="802" t="s">
        <v>412</v>
      </c>
      <c r="D271" s="483"/>
      <c r="E271" s="483"/>
      <c r="F271" s="483"/>
      <c r="G271" s="483"/>
      <c r="H271" s="483"/>
      <c r="I271" s="483"/>
      <c r="J271" s="783">
        <f>(14/62)*100</f>
        <v>22.58064516129032</v>
      </c>
      <c r="K271" s="574"/>
      <c r="L271" s="574"/>
      <c r="M271" s="574"/>
      <c r="N271" s="780"/>
      <c r="O271" s="780"/>
      <c r="P271" s="780"/>
      <c r="Q271" s="780"/>
      <c r="R271" s="780"/>
      <c r="S271" s="780"/>
      <c r="T271" s="783">
        <f>(14/61)*100</f>
        <v>22.950819672131146</v>
      </c>
      <c r="U271" s="483"/>
      <c r="V271" s="486"/>
      <c r="W271" s="486"/>
    </row>
    <row r="272" spans="1:25" ht="15" thickBot="1">
      <c r="A272" s="1230"/>
      <c r="B272" s="1227"/>
      <c r="C272" s="803" t="s">
        <v>413</v>
      </c>
      <c r="D272" s="523"/>
      <c r="E272" s="523"/>
      <c r="F272" s="523"/>
      <c r="G272" s="523"/>
      <c r="H272" s="523"/>
      <c r="I272" s="523"/>
      <c r="J272" s="784">
        <f>(15/62)*100</f>
        <v>24.193548387096776</v>
      </c>
      <c r="K272" s="575"/>
      <c r="L272" s="575"/>
      <c r="M272" s="575"/>
      <c r="N272" s="538"/>
      <c r="O272" s="538"/>
      <c r="P272" s="538"/>
      <c r="Q272" s="538"/>
      <c r="R272" s="538"/>
      <c r="S272" s="538"/>
      <c r="T272" s="784">
        <f>(15/61)*100</f>
        <v>24.590163934426229</v>
      </c>
      <c r="U272" s="523"/>
      <c r="V272" s="524"/>
      <c r="W272" s="524"/>
    </row>
    <row r="273" spans="1:29" ht="15" thickBot="1">
      <c r="A273" s="6" t="s">
        <v>246</v>
      </c>
      <c r="B273" s="1271"/>
      <c r="C273" s="1271"/>
      <c r="D273" s="99">
        <v>2005</v>
      </c>
      <c r="E273" s="99">
        <v>2006</v>
      </c>
      <c r="F273" s="99">
        <v>2007</v>
      </c>
      <c r="G273" s="99">
        <v>2008</v>
      </c>
      <c r="H273" s="96">
        <v>2009</v>
      </c>
      <c r="I273" s="96">
        <v>2010</v>
      </c>
      <c r="J273" s="96">
        <v>2011</v>
      </c>
      <c r="K273" s="96">
        <v>2012</v>
      </c>
      <c r="L273" s="96">
        <v>2013</v>
      </c>
      <c r="M273" s="96">
        <v>2014</v>
      </c>
      <c r="N273" s="96">
        <v>2015</v>
      </c>
      <c r="O273" s="96">
        <v>2016</v>
      </c>
      <c r="P273" s="96">
        <v>2017</v>
      </c>
      <c r="Q273" s="96">
        <v>2018</v>
      </c>
      <c r="R273" s="96">
        <v>2019</v>
      </c>
      <c r="S273" s="96">
        <v>2020</v>
      </c>
      <c r="T273" s="96">
        <v>2021</v>
      </c>
      <c r="U273" s="96">
        <v>2022</v>
      </c>
      <c r="V273" s="15">
        <v>2023</v>
      </c>
      <c r="W273" s="15">
        <v>2024</v>
      </c>
    </row>
    <row r="274" spans="1:29" ht="15" customHeight="1">
      <c r="A274" s="1260" t="s">
        <v>414</v>
      </c>
      <c r="B274" s="1246" t="s">
        <v>415</v>
      </c>
      <c r="C274" s="735" t="s">
        <v>416</v>
      </c>
      <c r="D274" s="539">
        <f>SUM(D275:D276)</f>
        <v>1477.6</v>
      </c>
      <c r="E274" s="539"/>
      <c r="F274" s="539"/>
      <c r="G274" s="539"/>
      <c r="H274" s="539"/>
      <c r="I274" s="539">
        <f t="shared" ref="I274:U274" si="4">SUM(I275:I276)</f>
        <v>1481.9</v>
      </c>
      <c r="J274" s="539"/>
      <c r="K274" s="539"/>
      <c r="L274" s="539"/>
      <c r="M274" s="539"/>
      <c r="N274" s="539">
        <f t="shared" si="4"/>
        <v>1311.9</v>
      </c>
      <c r="O274" s="539"/>
      <c r="P274" s="539"/>
      <c r="Q274" s="539"/>
      <c r="R274" s="539"/>
      <c r="S274" s="539">
        <f t="shared" si="4"/>
        <v>1463.6</v>
      </c>
      <c r="T274" s="539">
        <f t="shared" si="4"/>
        <v>1493.2</v>
      </c>
      <c r="U274" s="539">
        <f t="shared" si="4"/>
        <v>1535.8</v>
      </c>
      <c r="V274" s="653">
        <v>1630.8</v>
      </c>
      <c r="W274" s="653">
        <v>1739.3</v>
      </c>
    </row>
    <row r="275" spans="1:29" ht="15" customHeight="1">
      <c r="A275" s="1230"/>
      <c r="B275" s="1247"/>
      <c r="C275" s="800" t="s">
        <v>345</v>
      </c>
      <c r="D275" s="484">
        <v>786.9</v>
      </c>
      <c r="E275" s="484"/>
      <c r="F275" s="484"/>
      <c r="G275" s="484"/>
      <c r="H275" s="484"/>
      <c r="I275" s="540">
        <v>761.1</v>
      </c>
      <c r="K275" s="541"/>
      <c r="L275" s="541"/>
      <c r="M275" s="541"/>
      <c r="N275" s="484">
        <v>642.9</v>
      </c>
      <c r="O275" s="484"/>
      <c r="P275" s="484"/>
      <c r="Q275" s="484"/>
      <c r="R275" s="484"/>
      <c r="S275" s="484">
        <v>744.2</v>
      </c>
      <c r="T275" s="484">
        <v>750</v>
      </c>
      <c r="U275" s="484">
        <v>793.3</v>
      </c>
      <c r="V275" s="486">
        <v>817.2</v>
      </c>
      <c r="W275" s="486">
        <v>870.9</v>
      </c>
      <c r="AA275" s="654"/>
      <c r="AB275" s="654"/>
      <c r="AC275" s="654"/>
    </row>
    <row r="276" spans="1:29" ht="15" thickBot="1">
      <c r="A276" s="1230"/>
      <c r="B276" s="1248"/>
      <c r="C276" s="19" t="s">
        <v>346</v>
      </c>
      <c r="D276" s="489">
        <v>690.7</v>
      </c>
      <c r="E276" s="489"/>
      <c r="F276" s="489"/>
      <c r="G276" s="489"/>
      <c r="H276" s="489"/>
      <c r="I276" s="542">
        <v>720.8</v>
      </c>
      <c r="J276" s="543"/>
      <c r="K276" s="543"/>
      <c r="L276" s="543"/>
      <c r="M276" s="543"/>
      <c r="N276" s="544">
        <v>669</v>
      </c>
      <c r="O276" s="489"/>
      <c r="P276" s="489"/>
      <c r="Q276" s="489"/>
      <c r="R276" s="489"/>
      <c r="S276" s="489">
        <v>719.4</v>
      </c>
      <c r="T276" s="489">
        <v>743.2</v>
      </c>
      <c r="U276" s="489">
        <v>742.5</v>
      </c>
      <c r="V276" s="491">
        <v>813.7</v>
      </c>
      <c r="W276" s="491">
        <v>868.5</v>
      </c>
    </row>
    <row r="277" spans="1:29">
      <c r="A277" s="1230"/>
      <c r="B277" s="1268" t="s">
        <v>417</v>
      </c>
      <c r="C277" s="735" t="s">
        <v>416</v>
      </c>
      <c r="D277" s="545">
        <v>157.19999999999999</v>
      </c>
      <c r="E277" s="546"/>
      <c r="F277" s="546"/>
      <c r="G277" s="546"/>
      <c r="H277" s="546"/>
      <c r="I277" s="545">
        <v>160.4</v>
      </c>
      <c r="J277" s="510"/>
      <c r="K277" s="510"/>
      <c r="L277" s="510"/>
      <c r="M277" s="510"/>
      <c r="N277" s="547">
        <v>180.4</v>
      </c>
      <c r="O277" s="546"/>
      <c r="P277" s="546"/>
      <c r="Q277" s="546"/>
      <c r="R277" s="546"/>
      <c r="S277" s="546">
        <v>182.7</v>
      </c>
      <c r="T277" s="546">
        <v>191.7</v>
      </c>
      <c r="U277" s="546">
        <v>197.7</v>
      </c>
      <c r="V277" s="511">
        <v>194.8</v>
      </c>
      <c r="W277" s="511">
        <v>215.1</v>
      </c>
    </row>
    <row r="278" spans="1:29">
      <c r="A278" s="1230"/>
      <c r="B278" s="1269"/>
      <c r="C278" s="800" t="s">
        <v>345</v>
      </c>
      <c r="D278" s="548">
        <v>37.299999999999997</v>
      </c>
      <c r="E278" s="484"/>
      <c r="F278" s="484"/>
      <c r="G278" s="484"/>
      <c r="H278" s="484"/>
      <c r="I278" s="548">
        <v>42.1</v>
      </c>
      <c r="J278" s="484"/>
      <c r="K278" s="484"/>
      <c r="L278" s="484"/>
      <c r="M278" s="484"/>
      <c r="N278" s="549">
        <v>55.5</v>
      </c>
      <c r="O278" s="484"/>
      <c r="P278" s="484"/>
      <c r="Q278" s="484"/>
      <c r="R278" s="484"/>
      <c r="S278" s="484">
        <v>57.4</v>
      </c>
      <c r="T278" s="484">
        <v>57.9</v>
      </c>
      <c r="U278" s="484">
        <v>66.099999999999994</v>
      </c>
      <c r="V278" s="486">
        <v>56.5</v>
      </c>
      <c r="W278" s="486">
        <v>55.2</v>
      </c>
      <c r="AA278" s="654"/>
      <c r="AB278" s="654"/>
      <c r="AC278" s="654"/>
    </row>
    <row r="279" spans="1:29" ht="15" thickBot="1">
      <c r="A279" s="1230"/>
      <c r="B279" s="1270"/>
      <c r="C279" s="19" t="s">
        <v>346</v>
      </c>
      <c r="D279" s="550">
        <v>119.9</v>
      </c>
      <c r="E279" s="489"/>
      <c r="F279" s="489"/>
      <c r="G279" s="489"/>
      <c r="H279" s="489"/>
      <c r="I279" s="550">
        <v>118.3</v>
      </c>
      <c r="J279" s="543"/>
      <c r="K279" s="543"/>
      <c r="L279" s="543"/>
      <c r="M279" s="543"/>
      <c r="N279" s="544">
        <v>124.9</v>
      </c>
      <c r="O279" s="489"/>
      <c r="P279" s="489"/>
      <c r="Q279" s="489"/>
      <c r="R279" s="489"/>
      <c r="S279" s="489">
        <v>125.3</v>
      </c>
      <c r="T279" s="489">
        <v>133.9</v>
      </c>
      <c r="U279" s="489">
        <v>131.6</v>
      </c>
      <c r="V279" s="491">
        <v>138.30000000000001</v>
      </c>
      <c r="W279" s="491">
        <v>159.9</v>
      </c>
      <c r="X279" s="665"/>
    </row>
    <row r="280" spans="1:29">
      <c r="A280" s="1230"/>
      <c r="B280" s="1259" t="s">
        <v>418</v>
      </c>
      <c r="C280" s="736" t="s">
        <v>419</v>
      </c>
      <c r="D280" s="551">
        <f>D277/D274*100</f>
        <v>10.638873849485652</v>
      </c>
      <c r="E280" s="551"/>
      <c r="F280" s="551"/>
      <c r="G280" s="551"/>
      <c r="H280" s="551"/>
      <c r="I280" s="551">
        <f t="shared" ref="I280:U280" si="5">I277/I274*100</f>
        <v>10.82394223631824</v>
      </c>
      <c r="J280" s="551"/>
      <c r="K280" s="551"/>
      <c r="L280" s="551"/>
      <c r="M280" s="551"/>
      <c r="N280" s="551">
        <f t="shared" si="5"/>
        <v>13.751048098178215</v>
      </c>
      <c r="O280" s="551"/>
      <c r="P280" s="551"/>
      <c r="Q280" s="551"/>
      <c r="R280" s="551"/>
      <c r="S280" s="551">
        <f t="shared" si="5"/>
        <v>12.482918830281498</v>
      </c>
      <c r="T280" s="551">
        <f t="shared" si="5"/>
        <v>12.838199839271363</v>
      </c>
      <c r="U280" s="551">
        <f t="shared" si="5"/>
        <v>12.872769891913007</v>
      </c>
      <c r="V280" s="652">
        <f>+V277/V274*100</f>
        <v>11.945057640421879</v>
      </c>
      <c r="W280" s="652">
        <f>+W277/W274*100</f>
        <v>12.367044213189214</v>
      </c>
    </row>
    <row r="281" spans="1:29">
      <c r="A281" s="1230"/>
      <c r="B281" s="1259"/>
      <c r="C281" s="800" t="s">
        <v>337</v>
      </c>
      <c r="D281" s="484">
        <f>(D278/D275)*100</f>
        <v>4.7401194560935309</v>
      </c>
      <c r="E281" s="484"/>
      <c r="F281" s="484"/>
      <c r="G281" s="484"/>
      <c r="H281" s="484"/>
      <c r="I281" s="484">
        <f>(I278/I275)*100</f>
        <v>5.5314676126658782</v>
      </c>
      <c r="J281" s="484"/>
      <c r="K281" s="484"/>
      <c r="L281" s="484"/>
      <c r="M281" s="484"/>
      <c r="N281" s="549">
        <f t="shared" ref="N281:U282" si="6">(N278/N275)*100</f>
        <v>8.63275781614559</v>
      </c>
      <c r="O281" s="484"/>
      <c r="P281" s="484"/>
      <c r="Q281" s="484"/>
      <c r="R281" s="484"/>
      <c r="S281" s="484">
        <f t="shared" si="6"/>
        <v>7.7129803816178439</v>
      </c>
      <c r="T281" s="484">
        <f t="shared" si="6"/>
        <v>7.7200000000000006</v>
      </c>
      <c r="U281" s="484">
        <f t="shared" si="6"/>
        <v>8.3322828690281092</v>
      </c>
      <c r="V281" s="652">
        <f t="shared" ref="V281:W282" si="7">+V278/V275*100</f>
        <v>6.9138521781693578</v>
      </c>
      <c r="W281" s="652">
        <f t="shared" si="7"/>
        <v>6.3382707543920089</v>
      </c>
    </row>
    <row r="282" spans="1:29" ht="15" thickBot="1">
      <c r="A282" s="1230"/>
      <c r="B282" s="1259"/>
      <c r="C282" s="43" t="s">
        <v>338</v>
      </c>
      <c r="D282" s="489">
        <f>(D279/D276)*100</f>
        <v>17.359200810771679</v>
      </c>
      <c r="E282" s="489"/>
      <c r="F282" s="489"/>
      <c r="G282" s="489"/>
      <c r="H282" s="489"/>
      <c r="I282" s="489">
        <f>(I279/I276)*100</f>
        <v>16.412319644839069</v>
      </c>
      <c r="J282" s="552"/>
      <c r="K282" s="552"/>
      <c r="L282" s="552"/>
      <c r="M282" s="552"/>
      <c r="N282" s="489">
        <f t="shared" si="6"/>
        <v>18.66965620328849</v>
      </c>
      <c r="O282" s="489"/>
      <c r="P282" s="489"/>
      <c r="Q282" s="489"/>
      <c r="R282" s="489"/>
      <c r="S282" s="489">
        <f t="shared" si="6"/>
        <v>17.41729218793439</v>
      </c>
      <c r="T282" s="489">
        <f t="shared" si="6"/>
        <v>18.016684607104413</v>
      </c>
      <c r="U282" s="489">
        <f t="shared" si="6"/>
        <v>17.723905723905723</v>
      </c>
      <c r="V282" s="658">
        <f t="shared" si="7"/>
        <v>16.996436032935971</v>
      </c>
      <c r="W282" s="658">
        <f t="shared" si="7"/>
        <v>18.411053540587218</v>
      </c>
    </row>
    <row r="283" spans="1:29" ht="15" thickBot="1">
      <c r="A283" s="1230"/>
      <c r="B283" s="1257" t="s">
        <v>339</v>
      </c>
      <c r="C283" s="1258"/>
      <c r="D283" s="553">
        <f>+D282-D281</f>
        <v>12.619081354678148</v>
      </c>
      <c r="E283" s="554"/>
      <c r="F283" s="554"/>
      <c r="G283" s="554"/>
      <c r="H283" s="554"/>
      <c r="I283" s="553">
        <f>+I282-I281</f>
        <v>10.880852032173191</v>
      </c>
      <c r="J283" s="554"/>
      <c r="K283" s="554"/>
      <c r="L283" s="554"/>
      <c r="M283" s="554"/>
      <c r="N283" s="553">
        <f>+N282-N281</f>
        <v>10.0368983871429</v>
      </c>
      <c r="O283" s="554"/>
      <c r="P283" s="554"/>
      <c r="Q283" s="554"/>
      <c r="R283" s="554"/>
      <c r="S283" s="553">
        <f>+S282-S281</f>
        <v>9.7043118063165466</v>
      </c>
      <c r="T283" s="553">
        <f>+T282-T281</f>
        <v>10.296684607104412</v>
      </c>
      <c r="U283" s="553">
        <f>+U282-U281</f>
        <v>9.3916228548776139</v>
      </c>
      <c r="V283" s="659">
        <f>+V282-V281</f>
        <v>10.082583854766614</v>
      </c>
      <c r="W283" s="659">
        <f>+W282-W281</f>
        <v>12.072782786195209</v>
      </c>
    </row>
    <row r="284" spans="1:29" ht="15" thickBot="1">
      <c r="A284" s="47" t="s">
        <v>246</v>
      </c>
      <c r="B284" s="1252"/>
      <c r="C284" s="1252"/>
      <c r="D284" s="99">
        <v>2005</v>
      </c>
      <c r="E284" s="99">
        <v>2006</v>
      </c>
      <c r="F284" s="99">
        <v>2007</v>
      </c>
      <c r="G284" s="99">
        <v>2008</v>
      </c>
      <c r="H284" s="96">
        <v>2009</v>
      </c>
      <c r="I284" s="96">
        <v>2010</v>
      </c>
      <c r="J284" s="96">
        <v>2011</v>
      </c>
      <c r="K284" s="96">
        <v>2012</v>
      </c>
      <c r="L284" s="96">
        <v>2013</v>
      </c>
      <c r="M284" s="96">
        <v>2014</v>
      </c>
      <c r="N284" s="96">
        <v>2015</v>
      </c>
      <c r="O284" s="96">
        <v>2016</v>
      </c>
      <c r="P284" s="96">
        <v>2017</v>
      </c>
      <c r="Q284" s="96">
        <v>2018</v>
      </c>
      <c r="R284" s="96">
        <v>2019</v>
      </c>
      <c r="S284" s="96">
        <v>2020</v>
      </c>
      <c r="T284" s="96">
        <v>2021</v>
      </c>
      <c r="U284" s="96">
        <v>2022</v>
      </c>
      <c r="V284" s="15">
        <v>2023</v>
      </c>
      <c r="W284" s="96">
        <v>2024</v>
      </c>
    </row>
    <row r="285" spans="1:29">
      <c r="A285" s="1249" t="s">
        <v>420</v>
      </c>
      <c r="B285" s="1255" t="s">
        <v>336</v>
      </c>
      <c r="C285" s="1256"/>
      <c r="D285" s="476">
        <v>13.818772416593355</v>
      </c>
      <c r="E285" s="476"/>
      <c r="F285" s="476"/>
      <c r="G285" s="476"/>
      <c r="H285" s="476"/>
      <c r="I285" s="470">
        <v>13.605074908894588</v>
      </c>
      <c r="J285" s="470"/>
      <c r="K285" s="470"/>
      <c r="L285" s="470"/>
      <c r="M285" s="470"/>
      <c r="N285" s="470">
        <v>10.564829636405213</v>
      </c>
      <c r="O285" s="470"/>
      <c r="P285" s="470"/>
      <c r="Q285" s="470"/>
      <c r="R285" s="470"/>
      <c r="S285" s="470">
        <v>9.298988794752665</v>
      </c>
      <c r="T285" s="470">
        <v>9.7843557460487531</v>
      </c>
      <c r="U285" s="470">
        <v>9.7668967313452271</v>
      </c>
      <c r="V285" s="660">
        <v>10.252636742702967</v>
      </c>
      <c r="W285" s="660">
        <v>10.061519001897315</v>
      </c>
    </row>
    <row r="286" spans="1:29">
      <c r="A286" s="1250"/>
      <c r="B286" s="1182" t="s">
        <v>337</v>
      </c>
      <c r="C286" s="1183"/>
      <c r="D286" s="555">
        <v>10.674799847502859</v>
      </c>
      <c r="E286" s="555"/>
      <c r="F286" s="555"/>
      <c r="G286" s="555"/>
      <c r="H286" s="555"/>
      <c r="I286" s="472">
        <v>6.8281666376302805</v>
      </c>
      <c r="J286" s="472"/>
      <c r="K286" s="472"/>
      <c r="L286" s="472"/>
      <c r="M286" s="472"/>
      <c r="N286" s="472">
        <v>5.4758797763588545</v>
      </c>
      <c r="O286" s="472"/>
      <c r="P286" s="472"/>
      <c r="Q286" s="472"/>
      <c r="R286" s="472"/>
      <c r="S286" s="472">
        <v>5.0389680193496371</v>
      </c>
      <c r="T286" s="472">
        <v>5.1733333333333329</v>
      </c>
      <c r="U286" s="472">
        <v>5.4582125299382325</v>
      </c>
      <c r="V286" s="661">
        <v>6.3754282917278511</v>
      </c>
      <c r="W286" s="661">
        <v>5.8904581467447468</v>
      </c>
      <c r="Y286" s="654"/>
      <c r="Z286" s="654"/>
      <c r="AA286" s="654"/>
      <c r="AB286" s="651"/>
    </row>
    <row r="287" spans="1:29">
      <c r="A287" s="1250"/>
      <c r="B287" s="1182" t="s">
        <v>338</v>
      </c>
      <c r="C287" s="1183"/>
      <c r="D287" s="555">
        <v>17.402635007962935</v>
      </c>
      <c r="E287" s="555"/>
      <c r="F287" s="555"/>
      <c r="G287" s="555"/>
      <c r="H287" s="555"/>
      <c r="I287" s="472">
        <v>18.288356528843288</v>
      </c>
      <c r="J287" s="472"/>
      <c r="K287" s="472"/>
      <c r="L287" s="472"/>
      <c r="M287" s="472"/>
      <c r="N287" s="472">
        <v>15.453331427013685</v>
      </c>
      <c r="O287" s="472"/>
      <c r="P287" s="472"/>
      <c r="Q287" s="472"/>
      <c r="R287" s="472"/>
      <c r="S287" s="472">
        <v>13.705865999443981</v>
      </c>
      <c r="T287" s="472">
        <v>14.437567276641548</v>
      </c>
      <c r="U287" s="472">
        <v>14.37037037037037</v>
      </c>
      <c r="V287" s="661">
        <v>14.145262381713161</v>
      </c>
      <c r="W287" s="661">
        <v>14.242947610823258</v>
      </c>
      <c r="AB287" s="651"/>
    </row>
    <row r="288" spans="1:29" ht="15" thickBot="1">
      <c r="A288" s="1251"/>
      <c r="B288" s="1266" t="s">
        <v>339</v>
      </c>
      <c r="C288" s="1267"/>
      <c r="D288" s="474">
        <f>+D287-D286</f>
        <v>6.7278351604600761</v>
      </c>
      <c r="E288" s="474"/>
      <c r="F288" s="474"/>
      <c r="G288" s="474"/>
      <c r="H288" s="474"/>
      <c r="I288" s="474">
        <f>+I287-I286</f>
        <v>11.460189891213007</v>
      </c>
      <c r="J288" s="474"/>
      <c r="K288" s="474"/>
      <c r="L288" s="474"/>
      <c r="M288" s="474"/>
      <c r="N288" s="474">
        <f t="shared" ref="N288:U288" si="8">+N287-N286</f>
        <v>9.9774516506548316</v>
      </c>
      <c r="O288" s="474"/>
      <c r="P288" s="474"/>
      <c r="Q288" s="474"/>
      <c r="R288" s="474"/>
      <c r="S288" s="474">
        <f t="shared" si="8"/>
        <v>8.666897980094344</v>
      </c>
      <c r="T288" s="474">
        <f t="shared" si="8"/>
        <v>9.2642339433082164</v>
      </c>
      <c r="U288" s="474">
        <f t="shared" si="8"/>
        <v>8.9121578404321369</v>
      </c>
      <c r="V288" s="475">
        <f>+V287-V286</f>
        <v>7.7698340899853102</v>
      </c>
      <c r="W288" s="475">
        <f>+W287-W286</f>
        <v>8.352489464078511</v>
      </c>
      <c r="AB288" s="651"/>
    </row>
    <row r="289" spans="1:28" ht="15" thickBot="1">
      <c r="A289" s="48" t="s">
        <v>246</v>
      </c>
      <c r="B289" s="1252"/>
      <c r="C289" s="1252"/>
      <c r="D289" s="99">
        <v>2005</v>
      </c>
      <c r="E289" s="99">
        <v>2006</v>
      </c>
      <c r="F289" s="99">
        <v>2007</v>
      </c>
      <c r="G289" s="99">
        <v>2008</v>
      </c>
      <c r="H289" s="96">
        <v>2009</v>
      </c>
      <c r="I289" s="96">
        <v>2010</v>
      </c>
      <c r="J289" s="96">
        <v>2011</v>
      </c>
      <c r="K289" s="96">
        <v>2012</v>
      </c>
      <c r="L289" s="96">
        <v>2013</v>
      </c>
      <c r="M289" s="96">
        <v>2014</v>
      </c>
      <c r="N289" s="96">
        <v>2015</v>
      </c>
      <c r="O289" s="96">
        <v>2016</v>
      </c>
      <c r="P289" s="96">
        <v>2017</v>
      </c>
      <c r="Q289" s="96">
        <v>2018</v>
      </c>
      <c r="R289" s="96">
        <v>2019</v>
      </c>
      <c r="S289" s="96">
        <v>2020</v>
      </c>
      <c r="T289" s="96">
        <v>2021</v>
      </c>
      <c r="U289" s="96">
        <v>2022</v>
      </c>
      <c r="V289" s="15">
        <v>2023</v>
      </c>
      <c r="W289" s="15">
        <v>2024</v>
      </c>
    </row>
    <row r="290" spans="1:28">
      <c r="A290" s="1200" t="s">
        <v>421</v>
      </c>
      <c r="B290" s="1255" t="s">
        <v>344</v>
      </c>
      <c r="C290" s="1256"/>
      <c r="D290" s="494">
        <v>109776</v>
      </c>
      <c r="E290" s="494"/>
      <c r="F290" s="494"/>
      <c r="G290" s="494"/>
      <c r="H290" s="494"/>
      <c r="I290" s="556">
        <v>219179</v>
      </c>
      <c r="J290" s="556"/>
      <c r="K290" s="556"/>
      <c r="L290" s="556"/>
      <c r="M290" s="556"/>
      <c r="N290" s="556">
        <v>212389</v>
      </c>
      <c r="O290" s="556"/>
      <c r="P290" s="556"/>
      <c r="Q290" s="556"/>
      <c r="R290" s="556"/>
      <c r="S290" s="556">
        <v>202644</v>
      </c>
      <c r="T290" s="556">
        <v>202866</v>
      </c>
      <c r="U290" s="556">
        <v>143903</v>
      </c>
      <c r="V290" s="557">
        <v>142896</v>
      </c>
      <c r="W290" s="557">
        <v>137620</v>
      </c>
      <c r="Y290" s="778"/>
      <c r="Z290" s="647"/>
      <c r="AA290" s="647"/>
      <c r="AB290" s="647"/>
    </row>
    <row r="291" spans="1:28">
      <c r="A291" s="1201"/>
      <c r="B291" s="1182" t="s">
        <v>345</v>
      </c>
      <c r="C291" s="1183"/>
      <c r="D291" s="485">
        <v>45026</v>
      </c>
      <c r="E291" s="485"/>
      <c r="F291" s="485"/>
      <c r="G291" s="485"/>
      <c r="H291" s="485"/>
      <c r="I291" s="558">
        <v>110939</v>
      </c>
      <c r="J291" s="558"/>
      <c r="K291" s="558"/>
      <c r="L291" s="558"/>
      <c r="M291" s="558"/>
      <c r="N291" s="558">
        <v>100861</v>
      </c>
      <c r="O291" s="558"/>
      <c r="P291" s="558"/>
      <c r="Q291" s="558"/>
      <c r="R291" s="558"/>
      <c r="S291" s="558">
        <v>89877</v>
      </c>
      <c r="T291" s="558">
        <v>88248</v>
      </c>
      <c r="U291" s="558">
        <v>60505</v>
      </c>
      <c r="V291" s="559">
        <v>60066</v>
      </c>
      <c r="W291" s="559">
        <v>58295</v>
      </c>
      <c r="Y291" s="778"/>
      <c r="Z291" s="647"/>
      <c r="AA291" s="647"/>
      <c r="AB291" s="647"/>
    </row>
    <row r="292" spans="1:28">
      <c r="A292" s="1201"/>
      <c r="B292" s="1182" t="s">
        <v>346</v>
      </c>
      <c r="C292" s="1183"/>
      <c r="D292" s="485">
        <v>64750</v>
      </c>
      <c r="E292" s="485"/>
      <c r="F292" s="485"/>
      <c r="G292" s="485"/>
      <c r="H292" s="485"/>
      <c r="I292" s="558">
        <v>108240</v>
      </c>
      <c r="J292" s="558"/>
      <c r="K292" s="558"/>
      <c r="L292" s="558"/>
      <c r="M292" s="558"/>
      <c r="N292" s="558">
        <v>111528</v>
      </c>
      <c r="O292" s="558"/>
      <c r="P292" s="558"/>
      <c r="Q292" s="558"/>
      <c r="R292" s="558"/>
      <c r="S292" s="558">
        <v>112767</v>
      </c>
      <c r="T292" s="558">
        <v>114618</v>
      </c>
      <c r="U292" s="558">
        <v>83398</v>
      </c>
      <c r="V292" s="559">
        <v>82830</v>
      </c>
      <c r="W292" s="559">
        <v>79325</v>
      </c>
      <c r="Y292" s="778"/>
      <c r="Z292" s="647"/>
      <c r="AA292" s="647"/>
      <c r="AB292" s="647"/>
    </row>
    <row r="293" spans="1:28" ht="15" thickBot="1">
      <c r="A293" s="1201"/>
      <c r="B293" s="1253" t="s">
        <v>422</v>
      </c>
      <c r="C293" s="1254"/>
      <c r="D293" s="656">
        <f t="shared" ref="D293:N293" si="9">+D292-D291</f>
        <v>19724</v>
      </c>
      <c r="E293" s="656"/>
      <c r="F293" s="656"/>
      <c r="G293" s="656"/>
      <c r="H293" s="656"/>
      <c r="I293" s="656">
        <f t="shared" si="9"/>
        <v>-2699</v>
      </c>
      <c r="J293" s="656"/>
      <c r="K293" s="656"/>
      <c r="L293" s="656"/>
      <c r="M293" s="656"/>
      <c r="N293" s="656">
        <f t="shared" si="9"/>
        <v>10667</v>
      </c>
      <c r="O293" s="656"/>
      <c r="P293" s="656"/>
      <c r="Q293" s="656"/>
      <c r="R293" s="656"/>
      <c r="S293" s="656">
        <f t="shared" ref="S293:U293" si="10">+S292-S291</f>
        <v>22890</v>
      </c>
      <c r="T293" s="656">
        <f t="shared" si="10"/>
        <v>26370</v>
      </c>
      <c r="U293" s="656">
        <f t="shared" si="10"/>
        <v>22893</v>
      </c>
      <c r="V293" s="657">
        <f>+V292-V291</f>
        <v>22764</v>
      </c>
      <c r="W293" s="657">
        <f>+W292-W291</f>
        <v>21030</v>
      </c>
      <c r="Y293" s="647"/>
      <c r="Z293" s="647"/>
      <c r="AA293" s="647"/>
      <c r="AB293" s="647"/>
    </row>
    <row r="294" spans="1:28" ht="15" thickBot="1">
      <c r="A294" s="1203"/>
      <c r="B294" s="1265" t="s">
        <v>289</v>
      </c>
      <c r="C294" s="1265"/>
      <c r="D294" s="474">
        <f>D292/D290*100</f>
        <v>58.983748724675699</v>
      </c>
      <c r="E294" s="474"/>
      <c r="F294" s="474"/>
      <c r="G294" s="474"/>
      <c r="H294" s="474"/>
      <c r="I294" s="474">
        <f t="shared" ref="I294:U294" si="11">I292/I290*100</f>
        <v>49.384293203272215</v>
      </c>
      <c r="J294" s="656"/>
      <c r="K294" s="474"/>
      <c r="L294" s="474"/>
      <c r="M294" s="474"/>
      <c r="N294" s="474">
        <f t="shared" si="11"/>
        <v>52.511194082556067</v>
      </c>
      <c r="O294" s="474"/>
      <c r="P294" s="474"/>
      <c r="Q294" s="474"/>
      <c r="R294" s="474"/>
      <c r="S294" s="474">
        <f t="shared" si="11"/>
        <v>55.647835613193585</v>
      </c>
      <c r="T294" s="474">
        <f t="shared" si="11"/>
        <v>56.499364112271152</v>
      </c>
      <c r="U294" s="474">
        <f t="shared" si="11"/>
        <v>57.954316449274856</v>
      </c>
      <c r="V294" s="475">
        <f>V292/V290*100</f>
        <v>57.965233456499831</v>
      </c>
      <c r="W294" s="475">
        <f>W292/W290*100</f>
        <v>57.640604563290218</v>
      </c>
      <c r="Y294" s="779"/>
      <c r="Z294" s="779"/>
      <c r="AA294" s="779"/>
      <c r="AB294" s="655"/>
    </row>
    <row r="295" spans="1:28" ht="15" thickBot="1">
      <c r="A295" s="47" t="s">
        <v>246</v>
      </c>
      <c r="B295" s="1252"/>
      <c r="C295" s="1252"/>
      <c r="D295" s="99">
        <v>2005</v>
      </c>
      <c r="E295" s="99">
        <v>2006</v>
      </c>
      <c r="F295" s="99">
        <v>2007</v>
      </c>
      <c r="G295" s="99">
        <v>2008</v>
      </c>
      <c r="H295" s="96">
        <v>2009</v>
      </c>
      <c r="I295" s="96">
        <v>2010</v>
      </c>
      <c r="J295" s="96">
        <v>2011</v>
      </c>
      <c r="K295" s="96">
        <v>2012</v>
      </c>
      <c r="L295" s="96">
        <v>2013</v>
      </c>
      <c r="M295" s="96">
        <v>2014</v>
      </c>
      <c r="N295" s="96">
        <v>2015</v>
      </c>
      <c r="O295" s="96">
        <v>2016</v>
      </c>
      <c r="P295" s="96">
        <v>2017</v>
      </c>
      <c r="Q295" s="96">
        <v>2018</v>
      </c>
      <c r="R295" s="96">
        <v>2019</v>
      </c>
      <c r="S295" s="96">
        <v>2020</v>
      </c>
      <c r="T295" s="96">
        <v>2021</v>
      </c>
      <c r="U295" s="96">
        <v>2022</v>
      </c>
      <c r="V295" s="15">
        <v>2023</v>
      </c>
      <c r="W295" s="96">
        <v>2024</v>
      </c>
    </row>
    <row r="296" spans="1:28">
      <c r="A296" s="1249" t="s">
        <v>423</v>
      </c>
      <c r="B296" s="1261" t="s">
        <v>344</v>
      </c>
      <c r="C296" s="1262"/>
      <c r="D296" s="561"/>
      <c r="E296" s="561"/>
      <c r="F296" s="561"/>
      <c r="G296" s="561"/>
      <c r="H296" s="562"/>
      <c r="I296" s="563">
        <v>45497</v>
      </c>
      <c r="J296" s="562"/>
      <c r="K296" s="562"/>
      <c r="L296" s="562"/>
      <c r="M296" s="562"/>
      <c r="N296" s="563">
        <v>77350</v>
      </c>
      <c r="O296" s="563"/>
      <c r="P296" s="563"/>
      <c r="Q296" s="563"/>
      <c r="R296" s="563"/>
      <c r="S296" s="563">
        <v>70170</v>
      </c>
      <c r="T296" s="563">
        <v>61440</v>
      </c>
      <c r="U296" s="563">
        <v>61592</v>
      </c>
      <c r="V296" s="359">
        <f>SUM(V297:V298)</f>
        <v>62617</v>
      </c>
      <c r="W296" s="359">
        <f>W297+W298</f>
        <v>58722</v>
      </c>
    </row>
    <row r="297" spans="1:28">
      <c r="A297" s="1250"/>
      <c r="B297" s="1263" t="s">
        <v>345</v>
      </c>
      <c r="C297" s="1264"/>
      <c r="D297" s="564"/>
      <c r="E297" s="564"/>
      <c r="F297" s="564"/>
      <c r="G297" s="564"/>
      <c r="H297" s="565"/>
      <c r="I297" s="566">
        <v>3281</v>
      </c>
      <c r="J297" s="565"/>
      <c r="K297" s="565"/>
      <c r="L297" s="565"/>
      <c r="M297" s="565"/>
      <c r="N297" s="566">
        <v>3627</v>
      </c>
      <c r="O297" s="566"/>
      <c r="P297" s="566"/>
      <c r="Q297" s="566"/>
      <c r="R297" s="566"/>
      <c r="S297" s="566">
        <v>2781</v>
      </c>
      <c r="T297" s="566">
        <v>2429</v>
      </c>
      <c r="U297" s="566">
        <v>2430</v>
      </c>
      <c r="V297" s="350">
        <v>2517</v>
      </c>
      <c r="W297" s="350">
        <v>2253</v>
      </c>
    </row>
    <row r="298" spans="1:28">
      <c r="A298" s="1250"/>
      <c r="B298" s="1263" t="s">
        <v>346</v>
      </c>
      <c r="C298" s="1264"/>
      <c r="D298" s="564"/>
      <c r="E298" s="564"/>
      <c r="F298" s="564"/>
      <c r="G298" s="564"/>
      <c r="H298" s="565"/>
      <c r="I298" s="566">
        <v>42216</v>
      </c>
      <c r="J298" s="565"/>
      <c r="K298" s="565"/>
      <c r="L298" s="565"/>
      <c r="M298" s="565"/>
      <c r="N298" s="566">
        <v>73723</v>
      </c>
      <c r="O298" s="566"/>
      <c r="P298" s="566"/>
      <c r="Q298" s="566"/>
      <c r="R298" s="566"/>
      <c r="S298" s="566">
        <v>67389</v>
      </c>
      <c r="T298" s="566">
        <v>59011</v>
      </c>
      <c r="U298" s="566">
        <v>59162</v>
      </c>
      <c r="V298" s="350">
        <v>60100</v>
      </c>
      <c r="W298" s="350">
        <v>56469</v>
      </c>
    </row>
    <row r="299" spans="1:28">
      <c r="A299" s="1250"/>
      <c r="B299" s="1253" t="s">
        <v>422</v>
      </c>
      <c r="C299" s="1254"/>
      <c r="D299" s="564"/>
      <c r="E299" s="564"/>
      <c r="F299" s="564"/>
      <c r="G299" s="564"/>
      <c r="H299" s="565"/>
      <c r="I299" s="567">
        <f t="shared" ref="I299" si="12">+I298-I297</f>
        <v>38935</v>
      </c>
      <c r="J299" s="565"/>
      <c r="K299" s="565"/>
      <c r="L299" s="565"/>
      <c r="M299" s="565"/>
      <c r="N299" s="567">
        <f t="shared" ref="N299" si="13">+N298-N297</f>
        <v>70096</v>
      </c>
      <c r="O299" s="567"/>
      <c r="P299" s="567"/>
      <c r="Q299" s="567"/>
      <c r="R299" s="567"/>
      <c r="S299" s="567">
        <f>+S298-S297</f>
        <v>64608</v>
      </c>
      <c r="T299" s="567">
        <f>+T298-T297</f>
        <v>56582</v>
      </c>
      <c r="U299" s="567">
        <f>+U298-U297</f>
        <v>56732</v>
      </c>
      <c r="V299" s="568">
        <f>+V298-V297</f>
        <v>57583</v>
      </c>
      <c r="W299" s="568">
        <f>+W298-W297</f>
        <v>54216</v>
      </c>
    </row>
    <row r="300" spans="1:28" ht="15" thickBot="1">
      <c r="A300" s="1251"/>
      <c r="B300" s="1253" t="s">
        <v>289</v>
      </c>
      <c r="C300" s="1254"/>
      <c r="D300" s="560"/>
      <c r="E300" s="560"/>
      <c r="F300" s="560"/>
      <c r="G300" s="560"/>
      <c r="H300" s="569"/>
      <c r="I300" s="570">
        <f>I298/I296*100</f>
        <v>92.788535507835675</v>
      </c>
      <c r="J300" s="569"/>
      <c r="K300" s="569"/>
      <c r="L300" s="569"/>
      <c r="M300" s="569"/>
      <c r="N300" s="570">
        <f>N298/N296*100</f>
        <v>95.310924369747895</v>
      </c>
      <c r="O300" s="570"/>
      <c r="P300" s="570"/>
      <c r="Q300" s="570"/>
      <c r="R300" s="570"/>
      <c r="S300" s="570">
        <f t="shared" ref="S300:U300" si="14">S298/S296*100</f>
        <v>96.036767849508337</v>
      </c>
      <c r="T300" s="570">
        <f t="shared" si="14"/>
        <v>96.046549479166671</v>
      </c>
      <c r="U300" s="570">
        <f t="shared" si="14"/>
        <v>96.054682426289133</v>
      </c>
      <c r="V300" s="662">
        <f>V298/V296*100</f>
        <v>95.980324831914658</v>
      </c>
      <c r="W300" s="662">
        <f>W298/W296*100</f>
        <v>96.16327781751302</v>
      </c>
    </row>
    <row r="301" spans="1:28" ht="15" thickBot="1">
      <c r="A301" s="47" t="s">
        <v>246</v>
      </c>
      <c r="B301" s="1252"/>
      <c r="C301" s="1252"/>
      <c r="D301" s="99">
        <v>2005</v>
      </c>
      <c r="E301" s="99">
        <v>2006</v>
      </c>
      <c r="F301" s="99">
        <v>2007</v>
      </c>
      <c r="G301" s="99">
        <v>2008</v>
      </c>
      <c r="H301" s="96">
        <v>2009</v>
      </c>
      <c r="I301" s="96">
        <v>2010</v>
      </c>
      <c r="J301" s="96">
        <v>2011</v>
      </c>
      <c r="K301" s="96">
        <v>2012</v>
      </c>
      <c r="L301" s="96">
        <v>2013</v>
      </c>
      <c r="M301" s="96">
        <v>2014</v>
      </c>
      <c r="N301" s="96">
        <v>2015</v>
      </c>
      <c r="O301" s="96">
        <v>2016</v>
      </c>
      <c r="P301" s="96">
        <v>2017</v>
      </c>
      <c r="Q301" s="96">
        <v>2018</v>
      </c>
      <c r="R301" s="96">
        <v>2019</v>
      </c>
      <c r="S301" s="96">
        <v>2020</v>
      </c>
      <c r="T301" s="96">
        <v>2021</v>
      </c>
      <c r="U301" s="96">
        <v>2022</v>
      </c>
      <c r="V301" s="15">
        <v>2023</v>
      </c>
      <c r="W301" s="96">
        <v>2024</v>
      </c>
    </row>
    <row r="302" spans="1:28">
      <c r="A302" s="1249" t="s">
        <v>424</v>
      </c>
      <c r="B302" s="1261" t="s">
        <v>344</v>
      </c>
      <c r="C302" s="1262"/>
      <c r="D302" s="561"/>
      <c r="E302" s="561"/>
      <c r="F302" s="561"/>
      <c r="G302" s="561"/>
      <c r="H302" s="562"/>
      <c r="I302" s="562"/>
      <c r="J302" s="562"/>
      <c r="K302" s="562"/>
      <c r="L302" s="562"/>
      <c r="M302" s="562"/>
      <c r="N302" s="563"/>
      <c r="O302" s="563"/>
      <c r="P302" s="563"/>
      <c r="Q302" s="563"/>
      <c r="R302" s="563"/>
      <c r="S302" s="563">
        <v>15139</v>
      </c>
      <c r="T302" s="563">
        <v>16189</v>
      </c>
      <c r="U302" s="563">
        <v>21205</v>
      </c>
      <c r="V302" s="563">
        <v>17795</v>
      </c>
      <c r="W302" s="563">
        <v>19688</v>
      </c>
    </row>
    <row r="303" spans="1:28">
      <c r="A303" s="1250"/>
      <c r="B303" s="1263" t="s">
        <v>345</v>
      </c>
      <c r="C303" s="1264"/>
      <c r="D303" s="564"/>
      <c r="E303" s="564"/>
      <c r="F303" s="564"/>
      <c r="G303" s="564"/>
      <c r="H303" s="565"/>
      <c r="I303" s="565"/>
      <c r="J303" s="565"/>
      <c r="K303" s="565"/>
      <c r="L303" s="565"/>
      <c r="M303" s="565"/>
      <c r="N303" s="566"/>
      <c r="O303" s="566"/>
      <c r="P303" s="566"/>
      <c r="Q303" s="566"/>
      <c r="R303" s="566"/>
      <c r="S303" s="1068">
        <v>5432</v>
      </c>
      <c r="T303" s="1068">
        <v>5859</v>
      </c>
      <c r="U303" s="1068">
        <v>7214</v>
      </c>
      <c r="V303" s="1068">
        <v>6632</v>
      </c>
      <c r="W303" s="1068">
        <v>6991</v>
      </c>
    </row>
    <row r="304" spans="1:28">
      <c r="A304" s="1250"/>
      <c r="B304" s="1263" t="s">
        <v>346</v>
      </c>
      <c r="C304" s="1264"/>
      <c r="D304" s="564"/>
      <c r="E304" s="564"/>
      <c r="F304" s="564"/>
      <c r="G304" s="564"/>
      <c r="H304" s="565"/>
      <c r="I304" s="565"/>
      <c r="J304" s="565"/>
      <c r="K304" s="565"/>
      <c r="L304" s="565"/>
      <c r="M304" s="565"/>
      <c r="N304" s="566"/>
      <c r="O304" s="566"/>
      <c r="P304" s="566"/>
      <c r="Q304" s="566"/>
      <c r="R304" s="566"/>
      <c r="S304" s="1068">
        <v>9707</v>
      </c>
      <c r="T304" s="1068">
        <v>10330</v>
      </c>
      <c r="U304" s="1068">
        <v>13991</v>
      </c>
      <c r="V304" s="1068">
        <v>11163</v>
      </c>
      <c r="W304" s="1068">
        <v>12697</v>
      </c>
    </row>
    <row r="305" spans="1:23">
      <c r="A305" s="1250"/>
      <c r="B305" s="1253" t="s">
        <v>422</v>
      </c>
      <c r="C305" s="1254"/>
      <c r="D305" s="564"/>
      <c r="E305" s="564"/>
      <c r="F305" s="564"/>
      <c r="G305" s="564"/>
      <c r="H305" s="565"/>
      <c r="I305" s="565"/>
      <c r="J305" s="565"/>
      <c r="K305" s="565"/>
      <c r="L305" s="565"/>
      <c r="M305" s="565"/>
      <c r="N305" s="571"/>
      <c r="O305" s="571"/>
      <c r="P305" s="571"/>
      <c r="Q305" s="571"/>
      <c r="R305" s="571"/>
      <c r="S305" s="1069">
        <f>+S304-S303</f>
        <v>4275</v>
      </c>
      <c r="T305" s="1069">
        <f>+T304-T303</f>
        <v>4471</v>
      </c>
      <c r="U305" s="1069">
        <f>+U304-U303</f>
        <v>6777</v>
      </c>
      <c r="V305" s="1069">
        <f>+V304-V303</f>
        <v>4531</v>
      </c>
      <c r="W305" s="1069">
        <f>+W304-W303</f>
        <v>5706</v>
      </c>
    </row>
    <row r="306" spans="1:23" ht="15" thickBot="1">
      <c r="A306" s="1251"/>
      <c r="B306" s="1265" t="s">
        <v>289</v>
      </c>
      <c r="C306" s="1265"/>
      <c r="D306" s="560"/>
      <c r="E306" s="560"/>
      <c r="F306" s="560"/>
      <c r="G306" s="560"/>
      <c r="H306" s="569"/>
      <c r="I306" s="569"/>
      <c r="J306" s="569"/>
      <c r="K306" s="569"/>
      <c r="L306" s="569"/>
      <c r="M306" s="569"/>
      <c r="N306" s="379"/>
      <c r="O306" s="379"/>
      <c r="P306" s="379"/>
      <c r="Q306" s="379"/>
      <c r="R306" s="379"/>
      <c r="S306" s="570">
        <f>S304/S302*100</f>
        <v>64.119162428165666</v>
      </c>
      <c r="T306" s="570">
        <f t="shared" ref="T306:U306" si="15">T304/T302*100</f>
        <v>63.808759033911912</v>
      </c>
      <c r="U306" s="570">
        <f t="shared" si="15"/>
        <v>65.979721763734972</v>
      </c>
      <c r="V306" s="570">
        <f t="shared" ref="V306:W306" si="16">V304/V302*100</f>
        <v>62.731104242764822</v>
      </c>
      <c r="W306" s="570">
        <f t="shared" si="16"/>
        <v>64.491060544494104</v>
      </c>
    </row>
    <row r="310" spans="1:23">
      <c r="S310" s="572"/>
    </row>
    <row r="311" spans="1:23">
      <c r="S311" s="572"/>
    </row>
    <row r="318" spans="1:23" ht="14.5" customHeight="1"/>
  </sheetData>
  <mergeCells count="117">
    <mergeCell ref="B86:B89"/>
    <mergeCell ref="B82:B85"/>
    <mergeCell ref="B78:B81"/>
    <mergeCell ref="B122:B125"/>
    <mergeCell ref="B118:B121"/>
    <mergeCell ref="B114:B117"/>
    <mergeCell ref="B38:B41"/>
    <mergeCell ref="B34:B37"/>
    <mergeCell ref="B30:B33"/>
    <mergeCell ref="B50:B53"/>
    <mergeCell ref="B46:B49"/>
    <mergeCell ref="B42:B45"/>
    <mergeCell ref="B158:B161"/>
    <mergeCell ref="B154:B157"/>
    <mergeCell ref="B150:B153"/>
    <mergeCell ref="B146:B149"/>
    <mergeCell ref="B142:B145"/>
    <mergeCell ref="B138:B141"/>
    <mergeCell ref="B134:B137"/>
    <mergeCell ref="B130:B133"/>
    <mergeCell ref="B126:B129"/>
    <mergeCell ref="B301:C301"/>
    <mergeCell ref="A302:A306"/>
    <mergeCell ref="B302:C302"/>
    <mergeCell ref="B303:C303"/>
    <mergeCell ref="B304:C304"/>
    <mergeCell ref="B305:C305"/>
    <mergeCell ref="B306:C306"/>
    <mergeCell ref="B266:B269"/>
    <mergeCell ref="B262:B265"/>
    <mergeCell ref="B296:C296"/>
    <mergeCell ref="B297:C297"/>
    <mergeCell ref="B295:C295"/>
    <mergeCell ref="B286:C286"/>
    <mergeCell ref="B287:C287"/>
    <mergeCell ref="B288:C288"/>
    <mergeCell ref="B290:C290"/>
    <mergeCell ref="B291:C291"/>
    <mergeCell ref="B292:C292"/>
    <mergeCell ref="B293:C293"/>
    <mergeCell ref="B294:C294"/>
    <mergeCell ref="B277:B279"/>
    <mergeCell ref="B298:C298"/>
    <mergeCell ref="B273:C273"/>
    <mergeCell ref="A285:A288"/>
    <mergeCell ref="B18:B21"/>
    <mergeCell ref="A290:A294"/>
    <mergeCell ref="A296:A300"/>
    <mergeCell ref="B284:C284"/>
    <mergeCell ref="B289:C289"/>
    <mergeCell ref="B299:C299"/>
    <mergeCell ref="B300:C300"/>
    <mergeCell ref="B285:C285"/>
    <mergeCell ref="B283:C283"/>
    <mergeCell ref="B280:B282"/>
    <mergeCell ref="A274:A283"/>
    <mergeCell ref="B274:B276"/>
    <mergeCell ref="B74:B77"/>
    <mergeCell ref="B70:B73"/>
    <mergeCell ref="B66:B69"/>
    <mergeCell ref="B62:B65"/>
    <mergeCell ref="B58:B61"/>
    <mergeCell ref="B54:B57"/>
    <mergeCell ref="B110:B113"/>
    <mergeCell ref="B106:B109"/>
    <mergeCell ref="B102:B105"/>
    <mergeCell ref="B98:B101"/>
    <mergeCell ref="B94:B97"/>
    <mergeCell ref="B90:B93"/>
    <mergeCell ref="B162:B165"/>
    <mergeCell ref="B2:C2"/>
    <mergeCell ref="B7:C7"/>
    <mergeCell ref="B12:C12"/>
    <mergeCell ref="B258:B261"/>
    <mergeCell ref="B13:C13"/>
    <mergeCell ref="B14:C14"/>
    <mergeCell ref="B15:C15"/>
    <mergeCell ref="B16:C16"/>
    <mergeCell ref="B17:C17"/>
    <mergeCell ref="B9:C9"/>
    <mergeCell ref="B10:C10"/>
    <mergeCell ref="B11:C11"/>
    <mergeCell ref="B254:B257"/>
    <mergeCell ref="B250:B253"/>
    <mergeCell ref="B246:B249"/>
    <mergeCell ref="B242:B245"/>
    <mergeCell ref="B238:B241"/>
    <mergeCell ref="B234:B237"/>
    <mergeCell ref="B230:B233"/>
    <mergeCell ref="B226:B229"/>
    <mergeCell ref="B222:B225"/>
    <mergeCell ref="B218:B221"/>
    <mergeCell ref="B214:B217"/>
    <mergeCell ref="B270:B272"/>
    <mergeCell ref="A18:A272"/>
    <mergeCell ref="B22:B25"/>
    <mergeCell ref="B26:B29"/>
    <mergeCell ref="A3:A6"/>
    <mergeCell ref="A8:A11"/>
    <mergeCell ref="A13:A16"/>
    <mergeCell ref="B3:C3"/>
    <mergeCell ref="B4:C4"/>
    <mergeCell ref="B5:C5"/>
    <mergeCell ref="B6:C6"/>
    <mergeCell ref="B8:C8"/>
    <mergeCell ref="B210:B213"/>
    <mergeCell ref="B206:B209"/>
    <mergeCell ref="B202:B205"/>
    <mergeCell ref="B198:B201"/>
    <mergeCell ref="B194:B197"/>
    <mergeCell ref="B190:B193"/>
    <mergeCell ref="B186:B189"/>
    <mergeCell ref="B182:B185"/>
    <mergeCell ref="B178:B181"/>
    <mergeCell ref="B174:B177"/>
    <mergeCell ref="B170:B173"/>
    <mergeCell ref="B166:B169"/>
  </mergeCells>
  <conditionalFormatting sqref="D283 S283:W283 D288:W288 D299:W299 D305:W305">
    <cfRule type="cellIs" dxfId="216" priority="43" operator="lessThan">
      <formula>0</formula>
    </cfRule>
    <cfRule type="cellIs" dxfId="215" priority="44" operator="greaterThan">
      <formula>0</formula>
    </cfRule>
  </conditionalFormatting>
  <conditionalFormatting sqref="D294:I294 K294:W294">
    <cfRule type="cellIs" dxfId="214" priority="5" operator="lessThan">
      <formula>50</formula>
    </cfRule>
    <cfRule type="cellIs" dxfId="213" priority="6" operator="greaterThan">
      <formula>0</formula>
    </cfRule>
  </conditionalFormatting>
  <conditionalFormatting sqref="D6:W6 D11:W11">
    <cfRule type="cellIs" dxfId="212" priority="88" operator="lessThan">
      <formula>0</formula>
    </cfRule>
    <cfRule type="cellIs" dxfId="211" priority="89" operator="greaterThan">
      <formula>0</formula>
    </cfRule>
  </conditionalFormatting>
  <conditionalFormatting sqref="D16:W16 D293:W293">
    <cfRule type="cellIs" dxfId="210" priority="66" operator="lessThan">
      <formula>0</formula>
    </cfRule>
    <cfRule type="cellIs" dxfId="209" priority="67" operator="greaterThan">
      <formula>0</formula>
    </cfRule>
  </conditionalFormatting>
  <conditionalFormatting sqref="E283:H283 J283:M283 O283:R283">
    <cfRule type="cellIs" dxfId="208" priority="82" operator="lessThan">
      <formula>0</formula>
    </cfRule>
    <cfRule type="cellIs" dxfId="207" priority="83" operator="greaterThan">
      <formula>0</formula>
    </cfRule>
  </conditionalFormatting>
  <conditionalFormatting sqref="I283">
    <cfRule type="cellIs" dxfId="206" priority="41" operator="lessThan">
      <formula>0</formula>
    </cfRule>
    <cfRule type="cellIs" dxfId="205" priority="42" operator="greaterThan">
      <formula>0</formula>
    </cfRule>
  </conditionalFormatting>
  <conditionalFormatting sqref="I300 S300:W300">
    <cfRule type="cellIs" dxfId="204" priority="26" operator="greaterThan">
      <formula>50</formula>
    </cfRule>
    <cfRule type="cellIs" dxfId="203" priority="27" operator="lessThan">
      <formula>100</formula>
    </cfRule>
    <cfRule type="cellIs" dxfId="202" priority="28" operator="greaterThan">
      <formula>100</formula>
    </cfRule>
  </conditionalFormatting>
  <conditionalFormatting sqref="J294">
    <cfRule type="cellIs" dxfId="201" priority="3" operator="lessThan">
      <formula>0</formula>
    </cfRule>
    <cfRule type="cellIs" dxfId="200" priority="4" operator="greaterThan">
      <formula>0</formula>
    </cfRule>
  </conditionalFormatting>
  <conditionalFormatting sqref="N283">
    <cfRule type="cellIs" dxfId="199" priority="39" operator="lessThan">
      <formula>0</formula>
    </cfRule>
    <cfRule type="cellIs" dxfId="198" priority="40" operator="greaterThan">
      <formula>0</formula>
    </cfRule>
  </conditionalFormatting>
  <conditionalFormatting sqref="N300">
    <cfRule type="cellIs" dxfId="197" priority="47" operator="greaterThan">
      <formula>50</formula>
    </cfRule>
    <cfRule type="cellIs" dxfId="196" priority="72" operator="lessThan">
      <formula>100</formula>
    </cfRule>
    <cfRule type="cellIs" dxfId="195" priority="73" operator="greaterThan">
      <formula>100</formula>
    </cfRule>
  </conditionalFormatting>
  <conditionalFormatting sqref="S306:W306">
    <cfRule type="cellIs" dxfId="194" priority="49" operator="greaterThan">
      <formula>0</formula>
    </cfRule>
  </conditionalFormatting>
  <hyperlinks>
    <hyperlink ref="A3:A5" location="EmpleoyActividadEconómica_F!A28" display="3.6. Tasa de actividad de 16 a 64 años" xr:uid="{7F9B4320-0264-4A0C-8B7D-97BE9BAA7A72}"/>
    <hyperlink ref="A8:A10" location="EmpleoyActividadEconómica_F!A31" display="3.7. Tasa de empleo de 16 a 64 años" xr:uid="{34AF46FC-74E8-448E-967B-BFD2DB85EFA9}"/>
    <hyperlink ref="A13:A15" location="EmpleoyActividadEconómica_F!A34" display="3.8. Tasa de paro de 16 a 64 años" xr:uid="{FD9A7B09-B6BC-4B5B-B232-B54610025CA3}"/>
    <hyperlink ref="A18:A272" location="INDICE!A11" display="3.4. Población ocupada según tipo de ocupación" xr:uid="{2987B810-E408-48EC-AF5D-2AA79FCA691F}"/>
    <hyperlink ref="A274:A283" location="INDICE!A11" display="3.5. Tasa de contratos a tiempo parcial" xr:uid="{0DBEB8EA-A535-49E8-BA42-ACE8643DD941}"/>
    <hyperlink ref="A285:A288" location="INDICE!A11" display="3.6. Porcentaje de personas ocupadas en puestos no cualificados" xr:uid="{AF0F7B76-2B4F-4439-A117-F48EAD61A364}"/>
    <hyperlink ref="A290:A294" location="INDICE!A11" display="3.7. Paro Registrado" xr:uid="{870C8C28-3677-4CC2-B643-F5CEE235AD8B}"/>
    <hyperlink ref="A296:A300" location="INDICE!A11" display="3.8. Personas afiliadas en el sistema especial de &quot;Empleados de hogar&quot;" xr:uid="{362CEEEC-8C26-4BE7-AB8C-5D4E05108C88}"/>
    <hyperlink ref="A302:A306" location="INDICE!A11" display="3.9. Personas inscritas en la Agencia para el Empleo" xr:uid="{DDF69125-E978-408A-A542-787DFC08A21C}"/>
    <hyperlink ref="A3:A6" location="'INDICE'!A11" display="3.1. Tasa de actividad de 16 a 64 años" xr:uid="{450B02BC-6ECB-4821-91B0-41ED8758D527}"/>
    <hyperlink ref="A8:A11" location="INDICE!A11" display="3.2. Tasa de empleo de 16 a 64 años" xr:uid="{2BEC3C6E-1BB1-4F8E-8669-850E02895C9B}"/>
    <hyperlink ref="A13:A16" location="INDICE!A11" display="3.3. Tasa de paro de 16 a 64 años" xr:uid="{791D2DEF-8457-4B6F-92F8-4E2260AA3F01}"/>
    <hyperlink ref="Y1" location="INDICE!A22" display="SIGEM" xr:uid="{E7928CF8-5A9A-4C3F-8260-C0D06D608C51}"/>
  </hyperlinks>
  <pageMargins left="0.7" right="0.7" top="0.75" bottom="0.75" header="0.3" footer="0.3"/>
  <pageSetup paperSize="9" scale="55" orientation="landscape" horizontalDpi="300" verticalDpi="300" r:id="rId1"/>
  <ignoredErrors>
    <ignoredError sqref="D274:U27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334D-E03C-480D-AE53-1D7D3062C399}">
  <sheetPr>
    <tabColor theme="4" tint="0.59999389629810485"/>
  </sheetPr>
  <dimension ref="A1:R100"/>
  <sheetViews>
    <sheetView showGridLines="0" topLeftCell="A59" zoomScale="70" zoomScaleNormal="70" workbookViewId="0">
      <selection activeCell="R13" sqref="R13"/>
    </sheetView>
  </sheetViews>
  <sheetFormatPr baseColWidth="10" defaultColWidth="11.453125" defaultRowHeight="14.5"/>
  <sheetData>
    <row r="1" spans="1:18" ht="32" thickTop="1" thickBot="1">
      <c r="A1" s="24" t="s">
        <v>334</v>
      </c>
      <c r="R1" s="136" t="s">
        <v>245</v>
      </c>
    </row>
    <row r="2" spans="1:18" ht="15" thickTop="1"/>
    <row r="100" spans="1:1">
      <c r="A100" t="s">
        <v>425</v>
      </c>
    </row>
  </sheetData>
  <hyperlinks>
    <hyperlink ref="R1" location="INDICE!A11" display="SIGEM" xr:uid="{A043D333-62CB-4B6B-81E7-CBC570106BFC}"/>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F26F52D2161F429859B142B515E028" ma:contentTypeVersion="4" ma:contentTypeDescription="Crear nuevo documento." ma:contentTypeScope="" ma:versionID="6db5a697d60cde274999b7b5b6ef3305">
  <xsd:schema xmlns:xsd="http://www.w3.org/2001/XMLSchema" xmlns:xs="http://www.w3.org/2001/XMLSchema" xmlns:p="http://schemas.microsoft.com/office/2006/metadata/properties" xmlns:ns2="27dd7f87-76c5-469e-818d-ae3eb892b31c" targetNamespace="http://schemas.microsoft.com/office/2006/metadata/properties" ma:root="true" ma:fieldsID="22175641868f0100e2dc646d8fb48ebe" ns2:_="">
    <xsd:import namespace="27dd7f87-76c5-469e-818d-ae3eb892b3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dd7f87-76c5-469e-818d-ae3eb892b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50AF94-D264-4094-BF01-15F32156F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dd7f87-76c5-469e-818d-ae3eb892b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7B78D7-832F-4037-8BB2-7E2D0587D5E6}">
  <ds:schemaRefs>
    <ds:schemaRef ds:uri="http://schemas.microsoft.com/sharepoint/v3/contenttype/forms"/>
  </ds:schemaRefs>
</ds:datastoreItem>
</file>

<file path=customXml/itemProps3.xml><?xml version="1.0" encoding="utf-8"?>
<ds:datastoreItem xmlns:ds="http://schemas.openxmlformats.org/officeDocument/2006/customXml" ds:itemID="{FC8CF215-6386-43E2-850F-7C1469AAE34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7dd7f87-76c5-469e-818d-ae3eb892b31c"/>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28</vt:i4>
      </vt:variant>
    </vt:vector>
  </HeadingPairs>
  <TitlesOfParts>
    <vt:vector size="28" baseType="lpstr">
      <vt:lpstr>INDICE</vt:lpstr>
      <vt:lpstr>1.SITUACIÓN GLOBAL</vt:lpstr>
      <vt:lpstr>1. Gráficas</vt:lpstr>
      <vt:lpstr>1. Ficha</vt:lpstr>
      <vt:lpstr>2. POBLACIÓN Y HOGARES</vt:lpstr>
      <vt:lpstr>2. Gráficas</vt:lpstr>
      <vt:lpstr>2. Ficha</vt:lpstr>
      <vt:lpstr>3. EMPLEO Y ACTIVIDAD ECONÓMICA</vt:lpstr>
      <vt:lpstr>3. Gráficas</vt:lpstr>
      <vt:lpstr>3. Ficha</vt:lpstr>
      <vt:lpstr>4. RENTA, PROT, POBREZA Y VIV</vt:lpstr>
      <vt:lpstr>4. Gráficas</vt:lpstr>
      <vt:lpstr>4. Ficha</vt:lpstr>
      <vt:lpstr>5. SALUD</vt:lpstr>
      <vt:lpstr>5. Gráficas</vt:lpstr>
      <vt:lpstr>5. Ficha</vt:lpstr>
      <vt:lpstr>6. CUIDADOS</vt:lpstr>
      <vt:lpstr>6. Gráficas</vt:lpstr>
      <vt:lpstr>6. Ficha</vt:lpstr>
      <vt:lpstr>7. EDUC, CIEN, CULT Y DEP</vt:lpstr>
      <vt:lpstr>7. Gráficas</vt:lpstr>
      <vt:lpstr>7. Ficha</vt:lpstr>
      <vt:lpstr>8. PODER Y PARTICIPACIÓN</vt:lpstr>
      <vt:lpstr>8. Gráficas</vt:lpstr>
      <vt:lpstr>8. Ficha</vt:lpstr>
      <vt:lpstr>9. SEGURIDAD Y MOVILIDAD</vt:lpstr>
      <vt:lpstr>9. Gráficas</vt:lpstr>
      <vt:lpstr>9. Ficha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2023-12-29T12:25:23Z</dcterms:created>
  <dcterms:modified xsi:type="dcterms:W3CDTF">2025-03-26T09:17:47Z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0x010100B0F26F52D2161F429859B142B515E028</vt:lpwstr>
  </property>
</Properties>
</file>